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4dd5c3e1528f598/Área de Trabalho/"/>
    </mc:Choice>
  </mc:AlternateContent>
  <xr:revisionPtr revIDLastSave="0" documentId="8_{E5EDE0F7-9169-42A7-90EE-700A76D53C20}" xr6:coauthVersionLast="47" xr6:coauthVersionMax="47" xr10:uidLastSave="{00000000-0000-0000-0000-000000000000}"/>
  <bookViews>
    <workbookView xWindow="-110" yWindow="-110" windowWidth="19420" windowHeight="10420" tabRatio="643" xr2:uid="{00000000-000D-0000-FFFF-FFFF00000000}"/>
  </bookViews>
  <sheets>
    <sheet name="BASE" sheetId="1" r:id="rId1"/>
    <sheet name="Planilha2" sheetId="73" state="hidden" r:id="rId2"/>
    <sheet name="Planilha1" sheetId="72" state="hidden" r:id="rId3"/>
    <sheet name="Base (2)" sheetId="17" state="hidden" r:id="rId4"/>
    <sheet name="MC" sheetId="3" r:id="rId5"/>
    <sheet name="CFF" sheetId="4" r:id="rId6"/>
    <sheet name="BDI" sheetId="57" r:id="rId7"/>
    <sheet name="CP-01" sheetId="74" r:id="rId8"/>
    <sheet name="CP-02" sheetId="76" r:id="rId9"/>
    <sheet name="CP-03" sheetId="77" r:id="rId10"/>
    <sheet name="ADM" sheetId="54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tq200" localSheetId="10">'[1]Caracteristicas 1'!#REF!</definedName>
    <definedName name="___tq200" localSheetId="6">'[1]Caracteristicas 1'!#REF!</definedName>
    <definedName name="___tq200" localSheetId="7">'[1]Caracteristicas 1'!#REF!</definedName>
    <definedName name="___tq200" localSheetId="8">'[1]Caracteristicas 1'!#REF!</definedName>
    <definedName name="___tq200" localSheetId="9">'[1]Caracteristicas 1'!#REF!</definedName>
    <definedName name="___tq200">'[1]Caracteristicas 1'!#REF!</definedName>
    <definedName name="___tq300" localSheetId="10">'[1]Caracteristicas 1'!#REF!</definedName>
    <definedName name="___tq300" localSheetId="6">'[1]Caracteristicas 1'!#REF!</definedName>
    <definedName name="___tq300" localSheetId="7">'[1]Caracteristicas 1'!#REF!</definedName>
    <definedName name="___tq300" localSheetId="8">'[1]Caracteristicas 1'!#REF!</definedName>
    <definedName name="___tq300" localSheetId="9">'[1]Caracteristicas 1'!#REF!</definedName>
    <definedName name="___tq300">'[1]Caracteristicas 1'!#REF!</definedName>
    <definedName name="__tq200" localSheetId="10">'[2]Caracteristicas 1'!#REF!</definedName>
    <definedName name="__tq200" localSheetId="6">'[2]Caracteristicas 1'!#REF!</definedName>
    <definedName name="__tq200" localSheetId="7">'[2]Caracteristicas 1'!#REF!</definedName>
    <definedName name="__tq200" localSheetId="8">'[2]Caracteristicas 1'!#REF!</definedName>
    <definedName name="__tq200" localSheetId="9">'[2]Caracteristicas 1'!#REF!</definedName>
    <definedName name="__tq200">'[2]Caracteristicas 1'!#REF!</definedName>
    <definedName name="__tq201" localSheetId="10">'[1]Caracteristicas 1'!#REF!</definedName>
    <definedName name="__tq201" localSheetId="6">'[1]Caracteristicas 1'!#REF!</definedName>
    <definedName name="__tq201" localSheetId="7">'[1]Caracteristicas 1'!#REF!</definedName>
    <definedName name="__tq201" localSheetId="8">'[1]Caracteristicas 1'!#REF!</definedName>
    <definedName name="__tq201" localSheetId="9">'[1]Caracteristicas 1'!#REF!</definedName>
    <definedName name="__tq201">'[1]Caracteristicas 1'!#REF!</definedName>
    <definedName name="__tq202" localSheetId="6">#REF!</definedName>
    <definedName name="__tq202" localSheetId="7">#REF!</definedName>
    <definedName name="__tq202" localSheetId="8">#REF!</definedName>
    <definedName name="__tq202" localSheetId="9">#REF!</definedName>
    <definedName name="__tq202">#REF!</definedName>
    <definedName name="__tq300" localSheetId="10">'[2]Caracteristicas 1'!#REF!</definedName>
    <definedName name="__tq300" localSheetId="6">'[2]Caracteristicas 1'!#REF!</definedName>
    <definedName name="__tq300" localSheetId="7">'[2]Caracteristicas 1'!#REF!</definedName>
    <definedName name="__tq300" localSheetId="8">'[2]Caracteristicas 1'!#REF!</definedName>
    <definedName name="__tq300" localSheetId="9">'[2]Caracteristicas 1'!#REF!</definedName>
    <definedName name="__tq300">'[2]Caracteristicas 1'!#REF!</definedName>
    <definedName name="__xlnm.Print_Area_1">#REF!</definedName>
    <definedName name="_tq200" localSheetId="10">'[3]Caracteristicas 1'!#REF!</definedName>
    <definedName name="_tq200" localSheetId="6">'[3]Caracteristicas 1'!#REF!</definedName>
    <definedName name="_tq200" localSheetId="7">'[3]Caracteristicas 1'!#REF!</definedName>
    <definedName name="_tq200" localSheetId="8">'[3]Caracteristicas 1'!#REF!</definedName>
    <definedName name="_tq200" localSheetId="9">'[3]Caracteristicas 1'!#REF!</definedName>
    <definedName name="_tq200">'[3]Caracteristicas 1'!#REF!</definedName>
    <definedName name="_tq201" localSheetId="10">'[4]Caracteristicas 1'!#REF!</definedName>
    <definedName name="_tq201" localSheetId="6">'[4]Caracteristicas 1'!#REF!</definedName>
    <definedName name="_tq201" localSheetId="7">'[4]Caracteristicas 1'!#REF!</definedName>
    <definedName name="_tq201" localSheetId="8">'[4]Caracteristicas 1'!#REF!</definedName>
    <definedName name="_tq201" localSheetId="9">'[4]Caracteristicas 1'!#REF!</definedName>
    <definedName name="_tq201">'[4]Caracteristicas 1'!#REF!</definedName>
    <definedName name="_tq202" localSheetId="10">#REF!</definedName>
    <definedName name="_tq202" localSheetId="6">#REF!</definedName>
    <definedName name="_tq202" localSheetId="7">#REF!</definedName>
    <definedName name="_tq202" localSheetId="8">#REF!</definedName>
    <definedName name="_tq202" localSheetId="9">#REF!</definedName>
    <definedName name="_tq202">#REF!</definedName>
    <definedName name="_tq300" localSheetId="10">'[3]Caracteristicas 1'!#REF!</definedName>
    <definedName name="_tq300" localSheetId="6">'[3]Caracteristicas 1'!#REF!</definedName>
    <definedName name="_tq300" localSheetId="7">'[3]Caracteristicas 1'!#REF!</definedName>
    <definedName name="_tq300" localSheetId="8">'[3]Caracteristicas 1'!#REF!</definedName>
    <definedName name="_tq300" localSheetId="9">'[3]Caracteristicas 1'!#REF!</definedName>
    <definedName name="_tq300">'[3]Caracteristicas 1'!#REF!</definedName>
    <definedName name="aaaa" localSheetId="10">'[5]Caracteristicas 1'!#REF!</definedName>
    <definedName name="aaaa" localSheetId="6">'[5]Caracteristicas 1'!#REF!</definedName>
    <definedName name="aaaa" localSheetId="7">'[5]Caracteristicas 1'!#REF!</definedName>
    <definedName name="aaaa" localSheetId="8">'[5]Caracteristicas 1'!#REF!</definedName>
    <definedName name="aaaa" localSheetId="9">'[5]Caracteristicas 1'!#REF!</definedName>
    <definedName name="aaaa">'[5]Caracteristicas 1'!#REF!</definedName>
    <definedName name="_xlnm.Print_Area" localSheetId="10">ADM!$A$1:$I$25</definedName>
    <definedName name="_xlnm.Print_Area" localSheetId="0">BASE!$A$1:$I$105</definedName>
    <definedName name="_xlnm.Print_Area" localSheetId="3">'Base (2)'!$A$1:$G$191</definedName>
    <definedName name="_xlnm.Print_Area" localSheetId="6">BDI!$A$1:$D$22</definedName>
    <definedName name="_xlnm.Print_Area" localSheetId="5">CFF!$A$1:$J$29</definedName>
    <definedName name="_xlnm.Print_Area" localSheetId="7">'CP-01'!$A$1:$G$16</definedName>
    <definedName name="_xlnm.Print_Area" localSheetId="8">'CP-02'!$A$1:$G$16</definedName>
    <definedName name="_xlnm.Print_Area" localSheetId="9">'CP-03'!$A$1:$G$16</definedName>
    <definedName name="_xlnm.Print_Area" localSheetId="4">MC!$A$1:$H$471</definedName>
    <definedName name="AreaTeste">#REF!</definedName>
    <definedName name="AreaTeste2">#REF!</definedName>
    <definedName name="_xlnm.Database" localSheetId="10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>#REF!</definedName>
    <definedName name="CélulaInicioPlanilha">#REF!</definedName>
    <definedName name="CélulaResumo">#REF!</definedName>
    <definedName name="Dreno" localSheetId="10">#REF!</definedName>
    <definedName name="Dreno" localSheetId="6">#REF!</definedName>
    <definedName name="Dreno" localSheetId="7">#REF!</definedName>
    <definedName name="Dreno" localSheetId="8">#REF!</definedName>
    <definedName name="Dreno" localSheetId="9">#REF!</definedName>
    <definedName name="Dreno">#REF!</definedName>
    <definedName name="escav2m" localSheetId="10">#REF!</definedName>
    <definedName name="escav2m" localSheetId="6">#REF!</definedName>
    <definedName name="escav2m" localSheetId="7">#REF!</definedName>
    <definedName name="escav2m" localSheetId="8">#REF!</definedName>
    <definedName name="escav2m" localSheetId="9">#REF!</definedName>
    <definedName name="escav2m">#REF!</definedName>
    <definedName name="escav4m" localSheetId="10">#REF!</definedName>
    <definedName name="escav4m" localSheetId="6">#REF!</definedName>
    <definedName name="escav4m" localSheetId="7">#REF!</definedName>
    <definedName name="escav4m" localSheetId="8">#REF!</definedName>
    <definedName name="escav4m" localSheetId="9">#REF!</definedName>
    <definedName name="escav4m">#REF!</definedName>
    <definedName name="escav6m" localSheetId="10">#REF!</definedName>
    <definedName name="escav6m" localSheetId="6">#REF!</definedName>
    <definedName name="escav6m" localSheetId="7">#REF!</definedName>
    <definedName name="escav6m" localSheetId="8">#REF!</definedName>
    <definedName name="escav6m" localSheetId="9">#REF!</definedName>
    <definedName name="escav6m">#REF!</definedName>
    <definedName name="escavtot" localSheetId="10">#REF!</definedName>
    <definedName name="escavtot" localSheetId="6">#REF!</definedName>
    <definedName name="escavtot" localSheetId="7">#REF!</definedName>
    <definedName name="escavtot" localSheetId="8">#REF!</definedName>
    <definedName name="escavtot" localSheetId="9">#REF!</definedName>
    <definedName name="escavtot">#REF!</definedName>
    <definedName name="escoramtot" localSheetId="10">#REF!</definedName>
    <definedName name="escoramtot" localSheetId="6">#REF!</definedName>
    <definedName name="escoramtot" localSheetId="7">#REF!</definedName>
    <definedName name="escoramtot" localSheetId="8">#REF!</definedName>
    <definedName name="escoramtot" localSheetId="9">#REF!</definedName>
    <definedName name="escoramtot">#REF!</definedName>
    <definedName name="extot" localSheetId="10">#REF!</definedName>
    <definedName name="extot" localSheetId="6">#REF!</definedName>
    <definedName name="extot" localSheetId="7">#REF!</definedName>
    <definedName name="extot" localSheetId="8">#REF!</definedName>
    <definedName name="extot" localSheetId="9">#REF!</definedName>
    <definedName name="extot">#REF!</definedName>
    <definedName name="firma2" localSheetId="10">#REF!</definedName>
    <definedName name="firma2" localSheetId="6">#REF!</definedName>
    <definedName name="firma2" localSheetId="7">#REF!</definedName>
    <definedName name="firma2" localSheetId="8">#REF!</definedName>
    <definedName name="firma2" localSheetId="9">#REF!</definedName>
    <definedName name="firma2">#REF!</definedName>
    <definedName name="I" localSheetId="10">'[6]RESTAURAÇÃO '!#REF!</definedName>
    <definedName name="I" localSheetId="6">'[6]RESTAURAÇÃO '!#REF!</definedName>
    <definedName name="I" localSheetId="7">'[6]RESTAURAÇÃO '!#REF!</definedName>
    <definedName name="I" localSheetId="8">'[6]RESTAURAÇÃO '!#REF!</definedName>
    <definedName name="I" localSheetId="9">'[6]RESTAURAÇÃO '!#REF!</definedName>
    <definedName name="I">'[6]RESTAURAÇÃO '!#REF!</definedName>
    <definedName name="levguia" localSheetId="10">#REF!</definedName>
    <definedName name="levguia" localSheetId="6">#REF!</definedName>
    <definedName name="levguia" localSheetId="7">#REF!</definedName>
    <definedName name="levguia" localSheetId="8">#REF!</definedName>
    <definedName name="levguia" localSheetId="9">#REF!</definedName>
    <definedName name="levguia">#REF!</definedName>
    <definedName name="levsarj" localSheetId="6">#REF!</definedName>
    <definedName name="levsarj" localSheetId="7">#REF!</definedName>
    <definedName name="levsarj" localSheetId="8">#REF!</definedName>
    <definedName name="levsarj" localSheetId="9">#REF!</definedName>
    <definedName name="levsarj">#REF!</definedName>
    <definedName name="P" localSheetId="6">#REF!</definedName>
    <definedName name="P" localSheetId="7">#REF!</definedName>
    <definedName name="P" localSheetId="8">#REF!</definedName>
    <definedName name="P" localSheetId="9">#REF!</definedName>
    <definedName name="P">#REF!</definedName>
    <definedName name="Pasfalto" localSheetId="6">#REF!</definedName>
    <definedName name="Pasfalto" localSheetId="7">#REF!</definedName>
    <definedName name="Pasfalto" localSheetId="8">#REF!</definedName>
    <definedName name="Pasfalto" localSheetId="9">#REF!</definedName>
    <definedName name="Pasfalto">#REF!</definedName>
    <definedName name="Pcimentado" localSheetId="6">#REF!</definedName>
    <definedName name="Pcimentado" localSheetId="7">#REF!</definedName>
    <definedName name="Pcimentado" localSheetId="8">#REF!</definedName>
    <definedName name="Pcimentado" localSheetId="9">#REF!</definedName>
    <definedName name="Pcimentado">#REF!</definedName>
    <definedName name="Pgrama" localSheetId="6">#REF!</definedName>
    <definedName name="Pgrama" localSheetId="7">#REF!</definedName>
    <definedName name="Pgrama" localSheetId="8">#REF!</definedName>
    <definedName name="Pgrama" localSheetId="9">#REF!</definedName>
    <definedName name="Pgrama">#REF!</definedName>
    <definedName name="Ppedra" localSheetId="6">#REF!</definedName>
    <definedName name="Ppedra" localSheetId="7">#REF!</definedName>
    <definedName name="Ppedra" localSheetId="8">#REF!</definedName>
    <definedName name="Ppedra" localSheetId="9">#REF!</definedName>
    <definedName name="Ppedra">#REF!</definedName>
    <definedName name="Pterra" localSheetId="6">#REF!</definedName>
    <definedName name="Pterra" localSheetId="7">#REF!</definedName>
    <definedName name="Pterra" localSheetId="8">#REF!</definedName>
    <definedName name="Pterra" localSheetId="9">#REF!</definedName>
    <definedName name="Pterra">#REF!</definedName>
    <definedName name="reaterro" localSheetId="6">#REF!</definedName>
    <definedName name="reaterro" localSheetId="7">#REF!</definedName>
    <definedName name="reaterro" localSheetId="8">#REF!</definedName>
    <definedName name="reaterro" localSheetId="9">#REF!</definedName>
    <definedName name="reaterro">#REF!</definedName>
    <definedName name="Reblençol" localSheetId="6">#REF!</definedName>
    <definedName name="Reblençol" localSheetId="7">#REF!</definedName>
    <definedName name="Reblençol" localSheetId="8">#REF!</definedName>
    <definedName name="Reblençol" localSheetId="9">#REF!</definedName>
    <definedName name="Reblençol">#REF!</definedName>
    <definedName name="sobresc" localSheetId="6">#REF!</definedName>
    <definedName name="sobresc" localSheetId="7">#REF!</definedName>
    <definedName name="sobresc" localSheetId="8">#REF!</definedName>
    <definedName name="sobresc" localSheetId="9">#REF!</definedName>
    <definedName name="sobresc">#REF!</definedName>
    <definedName name="_xlnm.Print_Titles" localSheetId="0">BASE!$1:$10</definedName>
    <definedName name="_xlnm.Print_Titles" localSheetId="3">'Base (2)'!$1:$7</definedName>
    <definedName name="_xlnm.Print_Titles" localSheetId="4">MC!$1:$8</definedName>
    <definedName name="Tuboconcr" localSheetId="10">'[3]Caracteristicas 1'!#REF!</definedName>
    <definedName name="Tuboconcr" localSheetId="6">'[3]Caracteristicas 1'!#REF!</definedName>
    <definedName name="Tuboconcr" localSheetId="7">'[3]Caracteristicas 1'!#REF!</definedName>
    <definedName name="Tuboconcr" localSheetId="8">'[3]Caracteristicas 1'!#REF!</definedName>
    <definedName name="Tuboconcr" localSheetId="9">'[3]Caracteristicas 1'!#REF!</definedName>
    <definedName name="Tuboconcr">'[3]Caracteristicas 1'!#REF!</definedName>
    <definedName name="Tuboff" localSheetId="10">'[3]Caracteristicas 1'!#REF!</definedName>
    <definedName name="Tuboff" localSheetId="6">'[3]Caracteristicas 1'!#REF!</definedName>
    <definedName name="Tuboff" localSheetId="7">'[3]Caracteristicas 1'!#REF!</definedName>
    <definedName name="Tuboff" localSheetId="8">'[3]Caracteristicas 1'!#REF!</definedName>
    <definedName name="Tuboff" localSheetId="9">'[3]Caracteristicas 1'!#REF!</definedName>
    <definedName name="Tuboff">'[3]Caracteristicas 1'!#REF!</definedName>
    <definedName name="Tubopvc" localSheetId="10">'[3]Caracteristicas 1'!#REF!</definedName>
    <definedName name="Tubopvc" localSheetId="6">'[3]Caracteristicas 1'!#REF!</definedName>
    <definedName name="Tubopvc" localSheetId="7">'[3]Caracteristicas 1'!#REF!</definedName>
    <definedName name="Tubopvc" localSheetId="8">'[3]Caracteristicas 1'!#REF!</definedName>
    <definedName name="Tubopvc" localSheetId="9">'[3]Caracteristicas 1'!#REF!</definedName>
    <definedName name="Tubopvc">'[3]Caracteristicas 1'!#REF!</definedName>
    <definedName name="WWWE" localSheetId="10">'[4]Caracteristicas 1'!#REF!</definedName>
    <definedName name="WWWE" localSheetId="6">'[4]Caracteristicas 1'!#REF!</definedName>
    <definedName name="WWWE" localSheetId="7">'[4]Caracteristicas 1'!#REF!</definedName>
    <definedName name="WWWE" localSheetId="8">'[4]Caracteristicas 1'!#REF!</definedName>
    <definedName name="WWWE" localSheetId="9">'[4]Caracteristicas 1'!#REF!</definedName>
    <definedName name="WWWE">'[4]Caracteristicas 1'!#REF!</definedName>
    <definedName name="X" localSheetId="6">#REF!</definedName>
    <definedName name="X" localSheetId="7">#REF!</definedName>
    <definedName name="X" localSheetId="8">#REF!</definedName>
    <definedName name="X" localSheetId="9">#REF!</definedName>
    <definedName name="X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4" l="1"/>
  <c r="J25" i="4"/>
  <c r="J23" i="4"/>
  <c r="J21" i="4"/>
  <c r="J19" i="4"/>
  <c r="J17" i="4"/>
  <c r="J15" i="4"/>
  <c r="J13" i="4"/>
  <c r="J11" i="4"/>
  <c r="B20" i="4"/>
  <c r="B26" i="4"/>
  <c r="A26" i="4"/>
  <c r="B24" i="4"/>
  <c r="A24" i="4"/>
  <c r="B22" i="4"/>
  <c r="A22" i="4"/>
  <c r="A20" i="4"/>
  <c r="B18" i="4"/>
  <c r="A18" i="4"/>
  <c r="B16" i="4"/>
  <c r="A16" i="4"/>
  <c r="B14" i="4"/>
  <c r="A14" i="4"/>
  <c r="B12" i="4"/>
  <c r="A12" i="4"/>
  <c r="C34" i="3"/>
  <c r="C33" i="3"/>
  <c r="G33" i="3" s="1"/>
  <c r="G34" i="3"/>
  <c r="G35" i="3"/>
  <c r="G463" i="3"/>
  <c r="G458" i="3"/>
  <c r="G453" i="3"/>
  <c r="G443" i="3"/>
  <c r="G427" i="3"/>
  <c r="G428" i="3"/>
  <c r="G429" i="3"/>
  <c r="G430" i="3"/>
  <c r="G431" i="3"/>
  <c r="G432" i="3"/>
  <c r="B341" i="3"/>
  <c r="A341" i="3"/>
  <c r="A340" i="3"/>
  <c r="B340" i="3"/>
  <c r="G344" i="3"/>
  <c r="G343" i="3"/>
  <c r="G345" i="3" s="1"/>
  <c r="F73" i="1" s="1"/>
  <c r="H73" i="1"/>
  <c r="G89" i="1"/>
  <c r="H89" i="1" s="1"/>
  <c r="G399" i="3"/>
  <c r="G400" i="3"/>
  <c r="G378" i="3"/>
  <c r="G379" i="3"/>
  <c r="D349" i="3"/>
  <c r="G349" i="3" s="1"/>
  <c r="G350" i="3"/>
  <c r="G314" i="3"/>
  <c r="G296" i="3"/>
  <c r="G297" i="3"/>
  <c r="D285" i="3"/>
  <c r="G285" i="3" s="1"/>
  <c r="D283" i="3"/>
  <c r="G283" i="3" s="1"/>
  <c r="G284" i="3"/>
  <c r="G286" i="3"/>
  <c r="D278" i="3"/>
  <c r="G278" i="3" s="1"/>
  <c r="G277" i="3"/>
  <c r="G279" i="3"/>
  <c r="D276" i="3"/>
  <c r="G276" i="3" s="1"/>
  <c r="G271" i="3"/>
  <c r="D270" i="3"/>
  <c r="G270" i="3" s="1"/>
  <c r="A256" i="3"/>
  <c r="B256" i="3"/>
  <c r="G259" i="3"/>
  <c r="G258" i="3"/>
  <c r="H51" i="1"/>
  <c r="G243" i="3"/>
  <c r="G244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188" i="3"/>
  <c r="G189" i="3"/>
  <c r="G190" i="3"/>
  <c r="G191" i="3"/>
  <c r="G209" i="3"/>
  <c r="G210" i="3"/>
  <c r="G211" i="3"/>
  <c r="G238" i="3"/>
  <c r="D182" i="3"/>
  <c r="G182" i="3" s="1"/>
  <c r="D177" i="3"/>
  <c r="G177" i="3" s="1"/>
  <c r="D44" i="3"/>
  <c r="G44" i="3" s="1"/>
  <c r="G43" i="3"/>
  <c r="G45" i="3"/>
  <c r="G174" i="3"/>
  <c r="G175" i="3"/>
  <c r="G176" i="3"/>
  <c r="G178" i="3"/>
  <c r="D166" i="3"/>
  <c r="G166" i="3" s="1"/>
  <c r="D165" i="3"/>
  <c r="G165" i="3" s="1"/>
  <c r="D164" i="3"/>
  <c r="G164" i="3" s="1"/>
  <c r="D163" i="3"/>
  <c r="G163" i="3" s="1"/>
  <c r="F162" i="3"/>
  <c r="D162" i="3"/>
  <c r="G167" i="3"/>
  <c r="G168" i="3"/>
  <c r="D155" i="3"/>
  <c r="G155" i="3" s="1"/>
  <c r="D154" i="3"/>
  <c r="G154" i="3" s="1"/>
  <c r="D153" i="3"/>
  <c r="G153" i="3" s="1"/>
  <c r="D152" i="3"/>
  <c r="D156" i="3"/>
  <c r="G156" i="3" s="1"/>
  <c r="F152" i="3"/>
  <c r="G157" i="3"/>
  <c r="G158" i="3"/>
  <c r="D147" i="3"/>
  <c r="G147" i="3" s="1"/>
  <c r="D146" i="3"/>
  <c r="G146" i="3" s="1"/>
  <c r="D145" i="3"/>
  <c r="G145" i="3" s="1"/>
  <c r="D144" i="3"/>
  <c r="G144" i="3" s="1"/>
  <c r="F143" i="3"/>
  <c r="G143" i="3" s="1"/>
  <c r="D141" i="3"/>
  <c r="G141" i="3" s="1"/>
  <c r="D140" i="3"/>
  <c r="G140" i="3" s="1"/>
  <c r="D139" i="3"/>
  <c r="G139" i="3" s="1"/>
  <c r="D138" i="3"/>
  <c r="G138" i="3" s="1"/>
  <c r="G137" i="3"/>
  <c r="G142" i="3"/>
  <c r="G131" i="3"/>
  <c r="D130" i="3"/>
  <c r="G130" i="3" s="1"/>
  <c r="D129" i="3"/>
  <c r="G129" i="3" s="1"/>
  <c r="D128" i="3"/>
  <c r="G128" i="3" s="1"/>
  <c r="D127" i="3"/>
  <c r="G127" i="3" s="1"/>
  <c r="G122" i="3"/>
  <c r="D121" i="3"/>
  <c r="G121" i="3" s="1"/>
  <c r="D120" i="3"/>
  <c r="G120" i="3" s="1"/>
  <c r="D119" i="3"/>
  <c r="G119" i="3" s="1"/>
  <c r="D118" i="3"/>
  <c r="G118" i="3" s="1"/>
  <c r="D111" i="3"/>
  <c r="G111" i="3" s="1"/>
  <c r="D110" i="3"/>
  <c r="G110" i="3" s="1"/>
  <c r="D109" i="3"/>
  <c r="G109" i="3" s="1"/>
  <c r="D108" i="3"/>
  <c r="G108" i="3" s="1"/>
  <c r="D102" i="3"/>
  <c r="G102" i="3" s="1"/>
  <c r="D101" i="3"/>
  <c r="G101" i="3" s="1"/>
  <c r="D100" i="3"/>
  <c r="G100" i="3" s="1"/>
  <c r="D99" i="3"/>
  <c r="G99" i="3" s="1"/>
  <c r="G112" i="3"/>
  <c r="G103" i="3"/>
  <c r="G136" i="3"/>
  <c r="G98" i="3"/>
  <c r="C86" i="3"/>
  <c r="G86" i="3" s="1"/>
  <c r="G68" i="3"/>
  <c r="G69" i="3"/>
  <c r="D67" i="3"/>
  <c r="G67" i="3" s="1"/>
  <c r="G61" i="3"/>
  <c r="G62" i="3"/>
  <c r="D55" i="3"/>
  <c r="G55" i="3" s="1"/>
  <c r="C27" i="3"/>
  <c r="D22" i="3"/>
  <c r="A467" i="3"/>
  <c r="B467" i="3"/>
  <c r="G470" i="3"/>
  <c r="G469" i="3"/>
  <c r="A466" i="3"/>
  <c r="B466" i="3"/>
  <c r="A461" i="3"/>
  <c r="B461" i="3"/>
  <c r="G464" i="3"/>
  <c r="A456" i="3"/>
  <c r="B456" i="3"/>
  <c r="A451" i="3"/>
  <c r="B451" i="3"/>
  <c r="A446" i="3"/>
  <c r="B446" i="3"/>
  <c r="A441" i="3"/>
  <c r="B441" i="3"/>
  <c r="A440" i="3"/>
  <c r="B440" i="3"/>
  <c r="G459" i="3"/>
  <c r="G454" i="3"/>
  <c r="G449" i="3"/>
  <c r="G448" i="3"/>
  <c r="G444" i="3"/>
  <c r="A435" i="3"/>
  <c r="B435" i="3"/>
  <c r="G438" i="3"/>
  <c r="G437" i="3"/>
  <c r="A434" i="3"/>
  <c r="B434" i="3"/>
  <c r="A424" i="3"/>
  <c r="B424" i="3"/>
  <c r="G426" i="3"/>
  <c r="A423" i="3"/>
  <c r="B423" i="3"/>
  <c r="A422" i="3"/>
  <c r="B422" i="3"/>
  <c r="A417" i="3"/>
  <c r="B417" i="3"/>
  <c r="A412" i="3"/>
  <c r="B412" i="3"/>
  <c r="A407" i="3"/>
  <c r="B407" i="3"/>
  <c r="A402" i="3"/>
  <c r="B402" i="3"/>
  <c r="G420" i="3"/>
  <c r="G419" i="3"/>
  <c r="G415" i="3"/>
  <c r="G414" i="3"/>
  <c r="G410" i="3"/>
  <c r="G409" i="3"/>
  <c r="G405" i="3"/>
  <c r="G404" i="3"/>
  <c r="A396" i="3"/>
  <c r="B396" i="3"/>
  <c r="A391" i="3"/>
  <c r="B391" i="3"/>
  <c r="A386" i="3"/>
  <c r="B386" i="3"/>
  <c r="G398" i="3"/>
  <c r="G394" i="3"/>
  <c r="G393" i="3"/>
  <c r="G389" i="3"/>
  <c r="G388" i="3"/>
  <c r="A381" i="3"/>
  <c r="B381" i="3"/>
  <c r="G384" i="3"/>
  <c r="G383" i="3"/>
  <c r="B375" i="3"/>
  <c r="A375" i="3"/>
  <c r="G377" i="3"/>
  <c r="A374" i="3"/>
  <c r="B374" i="3"/>
  <c r="A369" i="3"/>
  <c r="A364" i="3"/>
  <c r="A359" i="3"/>
  <c r="B369" i="3"/>
  <c r="B364" i="3"/>
  <c r="G372" i="3"/>
  <c r="G371" i="3"/>
  <c r="G367" i="3"/>
  <c r="G366" i="3"/>
  <c r="B359" i="3"/>
  <c r="G362" i="3"/>
  <c r="G361" i="3"/>
  <c r="A358" i="3"/>
  <c r="A357" i="3"/>
  <c r="B358" i="3"/>
  <c r="B357" i="3"/>
  <c r="A352" i="3"/>
  <c r="B352" i="3"/>
  <c r="A347" i="3"/>
  <c r="B347" i="3"/>
  <c r="G355" i="3"/>
  <c r="G354" i="3"/>
  <c r="A346" i="3"/>
  <c r="B346" i="3"/>
  <c r="A335" i="3"/>
  <c r="B335" i="3"/>
  <c r="G338" i="3"/>
  <c r="G337" i="3"/>
  <c r="A330" i="3"/>
  <c r="B330" i="3"/>
  <c r="G333" i="3"/>
  <c r="G332" i="3"/>
  <c r="A329" i="3"/>
  <c r="A328" i="3"/>
  <c r="B329" i="3"/>
  <c r="B328" i="3"/>
  <c r="H322" i="3"/>
  <c r="A323" i="3"/>
  <c r="A318" i="3"/>
  <c r="B323" i="3"/>
  <c r="B318" i="3"/>
  <c r="G326" i="3"/>
  <c r="G325" i="3"/>
  <c r="G321" i="3"/>
  <c r="G320" i="3"/>
  <c r="A317" i="3"/>
  <c r="B317" i="3"/>
  <c r="A311" i="3"/>
  <c r="B311" i="3"/>
  <c r="G315" i="3"/>
  <c r="G313" i="3"/>
  <c r="A310" i="3"/>
  <c r="A309" i="3"/>
  <c r="B310" i="3"/>
  <c r="B309" i="3"/>
  <c r="A304" i="3"/>
  <c r="B304" i="3"/>
  <c r="A299" i="3"/>
  <c r="B299" i="3"/>
  <c r="A293" i="3"/>
  <c r="B293" i="3"/>
  <c r="A288" i="3"/>
  <c r="B288" i="3"/>
  <c r="A281" i="3"/>
  <c r="B281" i="3"/>
  <c r="A274" i="3"/>
  <c r="G307" i="3"/>
  <c r="G306" i="3"/>
  <c r="G302" i="3"/>
  <c r="G301" i="3"/>
  <c r="G295" i="3"/>
  <c r="G291" i="3"/>
  <c r="G290" i="3"/>
  <c r="B274" i="3"/>
  <c r="A273" i="3"/>
  <c r="B273" i="3"/>
  <c r="B268" i="3"/>
  <c r="A268" i="3"/>
  <c r="A263" i="3"/>
  <c r="B263" i="3"/>
  <c r="G266" i="3"/>
  <c r="G265" i="3"/>
  <c r="A262" i="3"/>
  <c r="B262" i="3"/>
  <c r="A261" i="3"/>
  <c r="B261" i="3"/>
  <c r="A251" i="3"/>
  <c r="B251" i="3"/>
  <c r="A246" i="3"/>
  <c r="B246" i="3"/>
  <c r="A240" i="3"/>
  <c r="B240" i="3"/>
  <c r="A185" i="3"/>
  <c r="B185" i="3"/>
  <c r="A180" i="3"/>
  <c r="B180" i="3"/>
  <c r="G254" i="3"/>
  <c r="G253" i="3"/>
  <c r="G249" i="3"/>
  <c r="G248" i="3"/>
  <c r="G242" i="3"/>
  <c r="G187" i="3"/>
  <c r="G183" i="3"/>
  <c r="A171" i="3"/>
  <c r="B171" i="3"/>
  <c r="G173" i="3"/>
  <c r="A170" i="3"/>
  <c r="B170" i="3"/>
  <c r="A160" i="3"/>
  <c r="A150" i="3"/>
  <c r="B160" i="3"/>
  <c r="B150" i="3"/>
  <c r="A134" i="3"/>
  <c r="B134" i="3"/>
  <c r="G148" i="3"/>
  <c r="A133" i="3"/>
  <c r="B133" i="3"/>
  <c r="A124" i="3"/>
  <c r="B124" i="3"/>
  <c r="G126" i="3"/>
  <c r="A115" i="3"/>
  <c r="B115" i="3"/>
  <c r="G117" i="3"/>
  <c r="B105" i="3"/>
  <c r="A114" i="3"/>
  <c r="B114" i="3"/>
  <c r="A105" i="3"/>
  <c r="A96" i="3"/>
  <c r="G107" i="3"/>
  <c r="B96" i="3"/>
  <c r="A95" i="3"/>
  <c r="B95" i="3"/>
  <c r="A90" i="3"/>
  <c r="B90" i="3"/>
  <c r="G93" i="3"/>
  <c r="G92" i="3"/>
  <c r="A89" i="3"/>
  <c r="B89" i="3"/>
  <c r="H88" i="3"/>
  <c r="A84" i="3"/>
  <c r="B84" i="3"/>
  <c r="G87" i="3"/>
  <c r="A83" i="3"/>
  <c r="B83" i="3"/>
  <c r="A82" i="3"/>
  <c r="B82" i="3"/>
  <c r="A77" i="3"/>
  <c r="A72" i="3"/>
  <c r="H81" i="3"/>
  <c r="H76" i="3"/>
  <c r="B77" i="3"/>
  <c r="B72" i="3"/>
  <c r="G80" i="3"/>
  <c r="G79" i="3"/>
  <c r="G75" i="3"/>
  <c r="G74" i="3"/>
  <c r="A71" i="3"/>
  <c r="B71" i="3"/>
  <c r="A65" i="3"/>
  <c r="B65" i="3"/>
  <c r="A64" i="3"/>
  <c r="B64" i="3"/>
  <c r="A58" i="3"/>
  <c r="B58" i="3"/>
  <c r="G60" i="3"/>
  <c r="A53" i="3"/>
  <c r="B53" i="3"/>
  <c r="G56" i="3"/>
  <c r="A52" i="3"/>
  <c r="B52" i="3"/>
  <c r="A47" i="3"/>
  <c r="B47" i="3"/>
  <c r="G50" i="3"/>
  <c r="G49" i="3"/>
  <c r="B40" i="3"/>
  <c r="B32" i="3" s="1"/>
  <c r="A40" i="3"/>
  <c r="A39" i="3"/>
  <c r="B39" i="3"/>
  <c r="A38" i="3"/>
  <c r="B38" i="3"/>
  <c r="A30" i="3"/>
  <c r="B30" i="3"/>
  <c r="A25" i="3"/>
  <c r="B25" i="3"/>
  <c r="A20" i="3"/>
  <c r="B20" i="3"/>
  <c r="A15" i="3"/>
  <c r="A10" i="3"/>
  <c r="B10" i="3"/>
  <c r="B15" i="3"/>
  <c r="H99" i="1"/>
  <c r="H100" i="1"/>
  <c r="H101" i="1"/>
  <c r="H102" i="1"/>
  <c r="H104" i="1"/>
  <c r="H84" i="1"/>
  <c r="H88" i="1"/>
  <c r="H80" i="1"/>
  <c r="H81" i="1"/>
  <c r="H79" i="1"/>
  <c r="I73" i="1" l="1"/>
  <c r="G260" i="3"/>
  <c r="F51" i="1" s="1"/>
  <c r="I51" i="1" s="1"/>
  <c r="G162" i="3"/>
  <c r="G169" i="3" s="1"/>
  <c r="F43" i="1" s="1"/>
  <c r="G152" i="3"/>
  <c r="G159" i="3" s="1"/>
  <c r="F42" i="1" s="1"/>
  <c r="G471" i="3"/>
  <c r="F104" i="1" s="1"/>
  <c r="I104" i="1" s="1"/>
  <c r="G416" i="3"/>
  <c r="F90" i="1" s="1"/>
  <c r="G433" i="3"/>
  <c r="F94" i="1" s="1"/>
  <c r="G460" i="3"/>
  <c r="F101" i="1" s="1"/>
  <c r="I101" i="1" s="1"/>
  <c r="G411" i="3"/>
  <c r="F89" i="1" s="1"/>
  <c r="I89" i="1" s="1"/>
  <c r="G439" i="3"/>
  <c r="F96" i="1" s="1"/>
  <c r="G455" i="3"/>
  <c r="F100" i="1" s="1"/>
  <c r="I100" i="1" s="1"/>
  <c r="G421" i="3"/>
  <c r="F91" i="1" s="1"/>
  <c r="G406" i="3"/>
  <c r="F88" i="1" s="1"/>
  <c r="I88" i="1" s="1"/>
  <c r="G450" i="3"/>
  <c r="F99" i="1" s="1"/>
  <c r="I99" i="1" s="1"/>
  <c r="G465" i="3"/>
  <c r="F102" i="1" s="1"/>
  <c r="I102" i="1" s="1"/>
  <c r="G445" i="3"/>
  <c r="F98" i="1" s="1"/>
  <c r="G401" i="3"/>
  <c r="F87" i="1" s="1"/>
  <c r="G373" i="3"/>
  <c r="F81" i="1" s="1"/>
  <c r="I81" i="1" s="1"/>
  <c r="G395" i="3"/>
  <c r="F86" i="1" s="1"/>
  <c r="G334" i="3"/>
  <c r="F70" i="1" s="1"/>
  <c r="G390" i="3"/>
  <c r="F85" i="1" s="1"/>
  <c r="G351" i="3"/>
  <c r="F75" i="1" s="1"/>
  <c r="G380" i="3"/>
  <c r="F83" i="1" s="1"/>
  <c r="G385" i="3"/>
  <c r="F84" i="1" s="1"/>
  <c r="I84" i="1" s="1"/>
  <c r="G339" i="3"/>
  <c r="F71" i="1" s="1"/>
  <c r="G356" i="3"/>
  <c r="F76" i="1" s="1"/>
  <c r="G368" i="3"/>
  <c r="F80" i="1" s="1"/>
  <c r="I80" i="1" s="1"/>
  <c r="G322" i="3"/>
  <c r="F66" i="1" s="1"/>
  <c r="G308" i="3"/>
  <c r="G316" i="3"/>
  <c r="F64" i="1" s="1"/>
  <c r="G327" i="3"/>
  <c r="F67" i="1" s="1"/>
  <c r="G363" i="3"/>
  <c r="F79" i="1" s="1"/>
  <c r="I79" i="1" s="1"/>
  <c r="G303" i="3"/>
  <c r="F61" i="1" s="1"/>
  <c r="G63" i="3"/>
  <c r="F23" i="1" s="1"/>
  <c r="G94" i="3"/>
  <c r="F33" i="1" s="1"/>
  <c r="G123" i="3"/>
  <c r="F38" i="1" s="1"/>
  <c r="G70" i="3"/>
  <c r="F25" i="1" s="1"/>
  <c r="G88" i="3"/>
  <c r="F31" i="1" s="1"/>
  <c r="G76" i="3"/>
  <c r="F27" i="1" s="1"/>
  <c r="G267" i="3"/>
  <c r="F54" i="1" s="1"/>
  <c r="G239" i="3"/>
  <c r="F47" i="1" s="1"/>
  <c r="G245" i="3"/>
  <c r="F48" i="1" s="1"/>
  <c r="G272" i="3"/>
  <c r="F55" i="1" s="1"/>
  <c r="G298" i="3"/>
  <c r="F60" i="1" s="1"/>
  <c r="G250" i="3"/>
  <c r="F49" i="1" s="1"/>
  <c r="G287" i="3"/>
  <c r="F58" i="1" s="1"/>
  <c r="G132" i="3"/>
  <c r="F39" i="1" s="1"/>
  <c r="G280" i="3"/>
  <c r="F57" i="1" s="1"/>
  <c r="G113" i="3"/>
  <c r="F36" i="1" s="1"/>
  <c r="G149" i="3"/>
  <c r="F41" i="1" s="1"/>
  <c r="G179" i="3"/>
  <c r="F45" i="1" s="1"/>
  <c r="G81" i="3"/>
  <c r="F28" i="1" s="1"/>
  <c r="G104" i="3"/>
  <c r="F35" i="1" s="1"/>
  <c r="G184" i="3"/>
  <c r="F46" i="1" s="1"/>
  <c r="G255" i="3"/>
  <c r="F50" i="1" s="1"/>
  <c r="G292" i="3"/>
  <c r="F59" i="1" s="1"/>
  <c r="G51" i="3"/>
  <c r="F20" i="1" s="1"/>
  <c r="G57" i="3"/>
  <c r="F22" i="1" s="1"/>
  <c r="H75" i="1" l="1"/>
  <c r="I75" i="1" s="1"/>
  <c r="H76" i="1"/>
  <c r="I76" i="1" s="1"/>
  <c r="H66" i="1"/>
  <c r="I66" i="1" s="1"/>
  <c r="H67" i="1"/>
  <c r="I67" i="1" s="1"/>
  <c r="H70" i="1"/>
  <c r="I70" i="1" s="1"/>
  <c r="H71" i="1"/>
  <c r="I71" i="1" s="1"/>
  <c r="H64" i="1"/>
  <c r="I64" i="1" s="1"/>
  <c r="I62" i="1" s="1"/>
  <c r="J20" i="4" s="1"/>
  <c r="H57" i="1"/>
  <c r="I57" i="1" s="1"/>
  <c r="H58" i="1"/>
  <c r="I58" i="1" s="1"/>
  <c r="H59" i="1"/>
  <c r="I59" i="1" s="1"/>
  <c r="H60" i="1"/>
  <c r="I60" i="1" s="1"/>
  <c r="H61" i="1"/>
  <c r="I61" i="1" s="1"/>
  <c r="I20" i="4" l="1"/>
  <c r="H20" i="4"/>
  <c r="G20" i="4"/>
  <c r="I68" i="1"/>
  <c r="J22" i="4" s="1"/>
  <c r="H36" i="1"/>
  <c r="I36" i="1" s="1"/>
  <c r="H38" i="1"/>
  <c r="I38" i="1" s="1"/>
  <c r="H39" i="1"/>
  <c r="I39" i="1" s="1"/>
  <c r="H55" i="1"/>
  <c r="I55" i="1" s="1"/>
  <c r="H45" i="1"/>
  <c r="I45" i="1" s="1"/>
  <c r="H25" i="1"/>
  <c r="I25" i="1" s="1"/>
  <c r="H27" i="1"/>
  <c r="I27" i="1" s="1"/>
  <c r="H28" i="1"/>
  <c r="I28" i="1" s="1"/>
  <c r="H20" i="1"/>
  <c r="I20" i="1" s="1"/>
  <c r="H22" i="1"/>
  <c r="I22" i="1" s="1"/>
  <c r="H23" i="1"/>
  <c r="I23" i="1" s="1"/>
  <c r="G22" i="4" l="1"/>
  <c r="H22" i="4"/>
  <c r="F22" i="4"/>
  <c r="I22" i="4"/>
  <c r="E22" i="4"/>
  <c r="D22" i="4"/>
  <c r="H98" i="1"/>
  <c r="I98" i="1" s="1"/>
  <c r="H96" i="1"/>
  <c r="H94" i="1"/>
  <c r="H83" i="1"/>
  <c r="H85" i="1"/>
  <c r="H86" i="1"/>
  <c r="H87" i="1"/>
  <c r="H54" i="1"/>
  <c r="H47" i="1"/>
  <c r="H48" i="1"/>
  <c r="H49" i="1"/>
  <c r="H50" i="1"/>
  <c r="H46" i="1"/>
  <c r="H35" i="1"/>
  <c r="H42" i="1"/>
  <c r="H43" i="1"/>
  <c r="H33" i="1"/>
  <c r="H31" i="1"/>
  <c r="H19" i="1"/>
  <c r="H13" i="1"/>
  <c r="H14" i="1"/>
  <c r="H15" i="1"/>
  <c r="H16" i="1"/>
  <c r="H12" i="1"/>
  <c r="G28" i="3"/>
  <c r="G27" i="3"/>
  <c r="G23" i="3"/>
  <c r="G22" i="3"/>
  <c r="I86" i="1" l="1"/>
  <c r="I47" i="1"/>
  <c r="I35" i="1"/>
  <c r="G29" i="3"/>
  <c r="G24" i="3"/>
  <c r="G12" i="77"/>
  <c r="G13" i="77" s="1"/>
  <c r="G9" i="77"/>
  <c r="E8" i="77"/>
  <c r="G8" i="77" s="1"/>
  <c r="G5" i="77"/>
  <c r="G6" i="77" s="1"/>
  <c r="G12" i="76"/>
  <c r="G13" i="76" s="1"/>
  <c r="G9" i="76"/>
  <c r="G8" i="76"/>
  <c r="G10" i="76" s="1"/>
  <c r="G5" i="76"/>
  <c r="G6" i="76" s="1"/>
  <c r="G12" i="74"/>
  <c r="G13" i="74" s="1"/>
  <c r="G9" i="74"/>
  <c r="G10" i="74" s="1"/>
  <c r="G6" i="74"/>
  <c r="G5" i="74"/>
  <c r="F14" i="1" l="1"/>
  <c r="I14" i="1" s="1"/>
  <c r="F15" i="1"/>
  <c r="I15" i="1" s="1"/>
  <c r="G7" i="74"/>
  <c r="G14" i="74" s="1"/>
  <c r="G14" i="76"/>
  <c r="G90" i="1" s="1"/>
  <c r="H90" i="1" s="1"/>
  <c r="G10" i="77"/>
  <c r="G14" i="77" s="1"/>
  <c r="G91" i="1" s="1"/>
  <c r="H91" i="1" s="1"/>
  <c r="G15" i="77" l="1"/>
  <c r="G16" i="77" s="1"/>
  <c r="G41" i="1"/>
  <c r="H41" i="1" s="1"/>
  <c r="G15" i="74"/>
  <c r="G16" i="74" s="1"/>
  <c r="G15" i="76"/>
  <c r="G16" i="76" s="1"/>
  <c r="I96" i="1" l="1"/>
  <c r="I49" i="1"/>
  <c r="I43" i="1" l="1"/>
  <c r="I54" i="1"/>
  <c r="I52" i="1" s="1"/>
  <c r="I42" i="1"/>
  <c r="J41" i="1" l="1"/>
  <c r="I41" i="1"/>
  <c r="D15" i="57" l="1"/>
  <c r="D20" i="57" s="1"/>
  <c r="I94" i="1" l="1"/>
  <c r="I92" i="1" s="1"/>
  <c r="J26" i="4" s="1"/>
  <c r="I26" i="4" l="1"/>
  <c r="G26" i="4"/>
  <c r="H26" i="4"/>
  <c r="I48" i="1"/>
  <c r="I31" i="1" l="1"/>
  <c r="I50" i="1" l="1"/>
  <c r="I91" i="1" l="1"/>
  <c r="I85" i="1"/>
  <c r="I87" i="1"/>
  <c r="I90" i="1"/>
  <c r="I83" i="1"/>
  <c r="I46" i="1"/>
  <c r="I44" i="1" s="1"/>
  <c r="I77" i="1" l="1"/>
  <c r="J24" i="4" s="1"/>
  <c r="I24" i="4"/>
  <c r="G24" i="4"/>
  <c r="F24" i="4"/>
  <c r="H24" i="4"/>
  <c r="E24" i="4"/>
  <c r="D24" i="4"/>
  <c r="B7" i="57"/>
  <c r="B6" i="57"/>
  <c r="A1" i="57"/>
  <c r="A7" i="57"/>
  <c r="A6" i="57"/>
  <c r="G42" i="3" l="1"/>
  <c r="G46" i="3" l="1"/>
  <c r="C32" i="3" s="1"/>
  <c r="G32" i="3" s="1"/>
  <c r="G36" i="3" s="1"/>
  <c r="F16" i="1" s="1"/>
  <c r="I16" i="1" s="1"/>
  <c r="F19" i="1" l="1"/>
  <c r="I19" i="1" s="1"/>
  <c r="I17" i="1" s="1"/>
  <c r="I33" i="1" l="1"/>
  <c r="I29" i="1" s="1"/>
  <c r="I24" i="54" l="1"/>
  <c r="F24" i="54"/>
  <c r="G24" i="54" s="1"/>
  <c r="I23" i="54"/>
  <c r="F23" i="54"/>
  <c r="G23" i="54" s="1"/>
  <c r="F22" i="54"/>
  <c r="G22" i="54" s="1"/>
  <c r="H22" i="54" s="1"/>
  <c r="I22" i="54" s="1"/>
  <c r="I21" i="54"/>
  <c r="F21" i="54"/>
  <c r="G21" i="54" s="1"/>
  <c r="I13" i="54"/>
  <c r="F13" i="54"/>
  <c r="G13" i="54" s="1"/>
  <c r="I12" i="54"/>
  <c r="F12" i="54"/>
  <c r="G12" i="54" s="1"/>
  <c r="I11" i="54"/>
  <c r="F11" i="54"/>
  <c r="G11" i="54" s="1"/>
  <c r="I10" i="54"/>
  <c r="F10" i="54"/>
  <c r="G10" i="54" s="1"/>
  <c r="F9" i="54"/>
  <c r="G9" i="54" s="1"/>
  <c r="H9" i="54" s="1"/>
  <c r="I9" i="54" s="1"/>
  <c r="I8" i="54"/>
  <c r="F8" i="54"/>
  <c r="I14" i="54" l="1"/>
  <c r="G4" i="54" s="1"/>
  <c r="F25" i="54"/>
  <c r="F14" i="54"/>
  <c r="I25" i="54"/>
  <c r="G17" i="54" s="1"/>
  <c r="G8" i="54"/>
  <c r="J18" i="4" l="1"/>
  <c r="G18" i="3"/>
  <c r="G17" i="3"/>
  <c r="G18" i="4" l="1"/>
  <c r="H18" i="4"/>
  <c r="I18" i="4"/>
  <c r="F18" i="4"/>
  <c r="D18" i="4"/>
  <c r="E18" i="4"/>
  <c r="G19" i="3"/>
  <c r="F13" i="1" s="1"/>
  <c r="I13" i="1" l="1"/>
  <c r="B7" i="4" l="1"/>
  <c r="E26" i="4" l="1"/>
  <c r="F26" i="4"/>
  <c r="D26" i="4"/>
  <c r="D20" i="4" l="1"/>
  <c r="E20" i="4"/>
  <c r="F20" i="4"/>
  <c r="J14" i="4" l="1"/>
  <c r="G14" i="4" l="1"/>
  <c r="H14" i="4"/>
  <c r="I14" i="4"/>
  <c r="D14" i="4"/>
  <c r="E14" i="4"/>
  <c r="F14" i="4"/>
  <c r="A1" i="4"/>
  <c r="A1" i="3"/>
  <c r="B7" i="3" l="1"/>
  <c r="B6" i="4" l="1"/>
  <c r="B6" i="3"/>
  <c r="A7" i="4"/>
  <c r="J12" i="4" l="1"/>
  <c r="F190" i="17"/>
  <c r="E190" i="17"/>
  <c r="F189" i="17"/>
  <c r="F188" i="17"/>
  <c r="E188" i="17"/>
  <c r="M187" i="17"/>
  <c r="F187" i="17" s="1"/>
  <c r="E187" i="17"/>
  <c r="F186" i="17"/>
  <c r="F185" i="17"/>
  <c r="F184" i="17"/>
  <c r="F183" i="17"/>
  <c r="F182" i="17"/>
  <c r="F181" i="17"/>
  <c r="E181" i="17"/>
  <c r="F180" i="17"/>
  <c r="E180" i="17"/>
  <c r="F179" i="17"/>
  <c r="E179" i="17"/>
  <c r="F178" i="17"/>
  <c r="E178" i="17"/>
  <c r="F177" i="17"/>
  <c r="E177" i="17"/>
  <c r="F176" i="17"/>
  <c r="E176" i="17"/>
  <c r="F175" i="17"/>
  <c r="E175" i="17"/>
  <c r="F174" i="17"/>
  <c r="E174" i="17"/>
  <c r="F173" i="17"/>
  <c r="E173" i="17"/>
  <c r="F172" i="17"/>
  <c r="E172" i="17"/>
  <c r="F171" i="17"/>
  <c r="E171" i="17"/>
  <c r="F170" i="17"/>
  <c r="E170" i="17"/>
  <c r="F169" i="17"/>
  <c r="E169" i="17"/>
  <c r="F168" i="17"/>
  <c r="E168" i="17"/>
  <c r="M167" i="17"/>
  <c r="F167" i="17" s="1"/>
  <c r="E167" i="17"/>
  <c r="F166" i="17"/>
  <c r="E166" i="17"/>
  <c r="F165" i="17"/>
  <c r="E165" i="17"/>
  <c r="F164" i="17"/>
  <c r="E164" i="17"/>
  <c r="F163" i="17"/>
  <c r="E163" i="17"/>
  <c r="F162" i="17"/>
  <c r="E162" i="17"/>
  <c r="F161" i="17"/>
  <c r="E161" i="17"/>
  <c r="F160" i="17"/>
  <c r="E160" i="17"/>
  <c r="F159" i="17"/>
  <c r="E159" i="17"/>
  <c r="F158" i="17"/>
  <c r="E158" i="17"/>
  <c r="F157" i="17"/>
  <c r="E157" i="17"/>
  <c r="F156" i="17"/>
  <c r="E156" i="17"/>
  <c r="F155" i="17"/>
  <c r="E155" i="17"/>
  <c r="F154" i="17"/>
  <c r="E154" i="17"/>
  <c r="F153" i="17"/>
  <c r="E153" i="17"/>
  <c r="F152" i="17"/>
  <c r="E152" i="17"/>
  <c r="F151" i="17"/>
  <c r="E151" i="17"/>
  <c r="F150" i="17"/>
  <c r="E150" i="17"/>
  <c r="F149" i="17"/>
  <c r="E149" i="17"/>
  <c r="F148" i="17"/>
  <c r="E148" i="17"/>
  <c r="F147" i="17"/>
  <c r="E147" i="17"/>
  <c r="F146" i="17"/>
  <c r="E146" i="17"/>
  <c r="M145" i="17"/>
  <c r="F145" i="17" s="1"/>
  <c r="E145" i="17"/>
  <c r="F144" i="17"/>
  <c r="E144" i="17"/>
  <c r="F143" i="17"/>
  <c r="E143" i="17"/>
  <c r="F142" i="17"/>
  <c r="E142" i="17"/>
  <c r="F141" i="17"/>
  <c r="E141" i="17"/>
  <c r="M140" i="17"/>
  <c r="F140" i="17" s="1"/>
  <c r="E140" i="17"/>
  <c r="F139" i="17"/>
  <c r="F138" i="17"/>
  <c r="E138" i="17"/>
  <c r="F137" i="17"/>
  <c r="E137" i="17"/>
  <c r="F136" i="17"/>
  <c r="E136" i="17"/>
  <c r="F135" i="17"/>
  <c r="E135" i="17"/>
  <c r="F134" i="17"/>
  <c r="E134" i="17"/>
  <c r="F133" i="17"/>
  <c r="E133" i="17"/>
  <c r="F132" i="17"/>
  <c r="E132" i="17"/>
  <c r="F131" i="17"/>
  <c r="E131" i="17"/>
  <c r="F130" i="17"/>
  <c r="E130" i="17"/>
  <c r="F129" i="17"/>
  <c r="E129" i="17"/>
  <c r="F128" i="17"/>
  <c r="E128" i="17"/>
  <c r="M127" i="17"/>
  <c r="F127" i="17" s="1"/>
  <c r="E127" i="17"/>
  <c r="M126" i="17"/>
  <c r="F126" i="17" s="1"/>
  <c r="E126" i="17"/>
  <c r="M125" i="17"/>
  <c r="F125" i="17"/>
  <c r="E125" i="17"/>
  <c r="F124" i="17"/>
  <c r="E124" i="17"/>
  <c r="F123" i="17"/>
  <c r="E123" i="17"/>
  <c r="F122" i="17"/>
  <c r="E122" i="17"/>
  <c r="F121" i="17"/>
  <c r="E121" i="17"/>
  <c r="F120" i="17"/>
  <c r="E120" i="17"/>
  <c r="F119" i="17"/>
  <c r="E119" i="17"/>
  <c r="F118" i="17"/>
  <c r="E118" i="17"/>
  <c r="F117" i="17"/>
  <c r="E117" i="17"/>
  <c r="F116" i="17"/>
  <c r="E116" i="17"/>
  <c r="F115" i="17"/>
  <c r="E115" i="17"/>
  <c r="F114" i="17"/>
  <c r="E114" i="17"/>
  <c r="F113" i="17"/>
  <c r="E113" i="17"/>
  <c r="F112" i="17"/>
  <c r="E112" i="17"/>
  <c r="F111" i="17"/>
  <c r="E111" i="17"/>
  <c r="F110" i="17"/>
  <c r="E110" i="17"/>
  <c r="F109" i="17"/>
  <c r="E109" i="17"/>
  <c r="F108" i="17"/>
  <c r="E108" i="17"/>
  <c r="F107" i="17"/>
  <c r="E107" i="17"/>
  <c r="F106" i="17"/>
  <c r="E106" i="17"/>
  <c r="F105" i="17"/>
  <c r="E105" i="17"/>
  <c r="F104" i="17"/>
  <c r="E104" i="17"/>
  <c r="F103" i="17"/>
  <c r="E103" i="17"/>
  <c r="F102" i="17"/>
  <c r="E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M85" i="17"/>
  <c r="F85" i="17" s="1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M71" i="17"/>
  <c r="F71" i="17" s="1"/>
  <c r="F70" i="17"/>
  <c r="F69" i="17"/>
  <c r="F68" i="17"/>
  <c r="F67" i="17"/>
  <c r="F66" i="17"/>
  <c r="F65" i="17"/>
  <c r="M64" i="17"/>
  <c r="F64" i="17" s="1"/>
  <c r="M63" i="17"/>
  <c r="F63" i="17" s="1"/>
  <c r="M62" i="17"/>
  <c r="F62" i="17" s="1"/>
  <c r="F61" i="17"/>
  <c r="F60" i="17"/>
  <c r="F59" i="17"/>
  <c r="F58" i="17"/>
  <c r="F57" i="17"/>
  <c r="F56" i="17"/>
  <c r="F55" i="17"/>
  <c r="F54" i="17"/>
  <c r="F53" i="17"/>
  <c r="F52" i="17"/>
  <c r="F51" i="17"/>
  <c r="M50" i="17"/>
  <c r="F50" i="17" s="1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6" i="17"/>
  <c r="G5" i="17"/>
  <c r="C5" i="17"/>
  <c r="C4" i="17"/>
  <c r="A1" i="17"/>
  <c r="I12" i="4" l="1"/>
  <c r="G12" i="4"/>
  <c r="H12" i="4"/>
  <c r="G175" i="17"/>
  <c r="G179" i="17"/>
  <c r="G102" i="17"/>
  <c r="G106" i="17"/>
  <c r="G110" i="17"/>
  <c r="G129" i="17"/>
  <c r="G133" i="17"/>
  <c r="G137" i="17"/>
  <c r="G147" i="17"/>
  <c r="G151" i="17"/>
  <c r="G155" i="17"/>
  <c r="G159" i="17"/>
  <c r="G163" i="17"/>
  <c r="G103" i="17"/>
  <c r="G107" i="17"/>
  <c r="G130" i="17"/>
  <c r="G134" i="17"/>
  <c r="G146" i="17"/>
  <c r="G150" i="17"/>
  <c r="G154" i="17"/>
  <c r="G158" i="17"/>
  <c r="G162" i="17"/>
  <c r="G168" i="17"/>
  <c r="G172" i="17"/>
  <c r="G176" i="17"/>
  <c r="G180" i="17"/>
  <c r="G143" i="17"/>
  <c r="G144" i="17"/>
  <c r="G113" i="17"/>
  <c r="G164" i="17"/>
  <c r="G166" i="17"/>
  <c r="G170" i="17"/>
  <c r="G112" i="17"/>
  <c r="G165" i="17"/>
  <c r="G169" i="17"/>
  <c r="G171" i="17"/>
  <c r="G140" i="17"/>
  <c r="G114" i="17"/>
  <c r="G118" i="17"/>
  <c r="G122" i="17"/>
  <c r="G138" i="17"/>
  <c r="G142" i="17"/>
  <c r="G149" i="17"/>
  <c r="G188" i="17"/>
  <c r="G111" i="17"/>
  <c r="G115" i="17"/>
  <c r="G119" i="17"/>
  <c r="G123" i="17"/>
  <c r="G141" i="17"/>
  <c r="G145" i="17"/>
  <c r="G148" i="17"/>
  <c r="G105" i="17"/>
  <c r="G120" i="17"/>
  <c r="G124" i="17"/>
  <c r="G127" i="17"/>
  <c r="G152" i="17"/>
  <c r="G156" i="17"/>
  <c r="G178" i="17"/>
  <c r="G104" i="17"/>
  <c r="G108" i="17"/>
  <c r="G117" i="17"/>
  <c r="G121" i="17"/>
  <c r="G157" i="17"/>
  <c r="G161" i="17"/>
  <c r="G173" i="17"/>
  <c r="G177" i="17"/>
  <c r="G109" i="17"/>
  <c r="G116" i="17"/>
  <c r="G125" i="17"/>
  <c r="G153" i="17"/>
  <c r="G160" i="17"/>
  <c r="G174" i="17"/>
  <c r="G181" i="17"/>
  <c r="G190" i="17"/>
  <c r="G126" i="17"/>
  <c r="G132" i="17"/>
  <c r="G135" i="17"/>
  <c r="G128" i="17"/>
  <c r="G131" i="17"/>
  <c r="G136" i="17"/>
  <c r="G167" i="17"/>
  <c r="G187" i="17"/>
  <c r="G139" i="17" l="1"/>
  <c r="G101" i="17"/>
  <c r="E189" i="17"/>
  <c r="G189" i="17" s="1"/>
  <c r="E50" i="17" l="1"/>
  <c r="G50" i="17" s="1"/>
  <c r="E186" i="17" l="1"/>
  <c r="G186" i="17" s="1"/>
  <c r="E185" i="17" l="1"/>
  <c r="G185" i="17" s="1"/>
  <c r="E57" i="17" l="1"/>
  <c r="G57" i="17" s="1"/>
  <c r="E58" i="17" l="1"/>
  <c r="G58" i="17" s="1"/>
  <c r="E53" i="17" l="1"/>
  <c r="G53" i="17" s="1"/>
  <c r="G13" i="3"/>
  <c r="G12" i="3"/>
  <c r="E97" i="17" l="1"/>
  <c r="G97" i="17" s="1"/>
  <c r="E42" i="17"/>
  <c r="G42" i="17" s="1"/>
  <c r="E40" i="17"/>
  <c r="G40" i="17" s="1"/>
  <c r="E70" i="17"/>
  <c r="G70" i="17" s="1"/>
  <c r="E74" i="17"/>
  <c r="G74" i="17" s="1"/>
  <c r="E83" i="17"/>
  <c r="G83" i="17" s="1"/>
  <c r="E93" i="17"/>
  <c r="G93" i="17" s="1"/>
  <c r="E47" i="17"/>
  <c r="G47" i="17" s="1"/>
  <c r="E76" i="17"/>
  <c r="G76" i="17" s="1"/>
  <c r="E86" i="17"/>
  <c r="G86" i="17" s="1"/>
  <c r="E91" i="17"/>
  <c r="G91" i="17" s="1"/>
  <c r="E17" i="17"/>
  <c r="G17" i="17" s="1"/>
  <c r="E18" i="17"/>
  <c r="G18" i="17" s="1"/>
  <c r="E21" i="17"/>
  <c r="G21" i="17" s="1"/>
  <c r="E29" i="17"/>
  <c r="G29" i="17" s="1"/>
  <c r="E43" i="17"/>
  <c r="G43" i="17" s="1"/>
  <c r="E60" i="17"/>
  <c r="G60" i="17" s="1"/>
  <c r="E82" i="17"/>
  <c r="G82" i="17" s="1"/>
  <c r="E67" i="17"/>
  <c r="G67" i="17" s="1"/>
  <c r="E94" i="17"/>
  <c r="G94" i="17" s="1"/>
  <c r="E98" i="17"/>
  <c r="G98" i="17" s="1"/>
  <c r="G14" i="3"/>
  <c r="F12" i="1" s="1"/>
  <c r="E39" i="17"/>
  <c r="G39" i="17" s="1"/>
  <c r="E92" i="17"/>
  <c r="G92" i="17" s="1"/>
  <c r="E30" i="17"/>
  <c r="G30" i="17" s="1"/>
  <c r="E55" i="17"/>
  <c r="G55" i="17" s="1"/>
  <c r="E23" i="17"/>
  <c r="G23" i="17" s="1"/>
  <c r="E41" i="17"/>
  <c r="G41" i="17" s="1"/>
  <c r="E64" i="17"/>
  <c r="G64" i="17" s="1"/>
  <c r="E69" i="17"/>
  <c r="G69" i="17" s="1"/>
  <c r="E95" i="17"/>
  <c r="G95" i="17" s="1"/>
  <c r="E12" i="17"/>
  <c r="G12" i="17" s="1"/>
  <c r="E25" i="17"/>
  <c r="G25" i="17" s="1"/>
  <c r="E71" i="17"/>
  <c r="G71" i="17" s="1"/>
  <c r="E15" i="17"/>
  <c r="G15" i="17" s="1"/>
  <c r="E20" i="17"/>
  <c r="G20" i="17" s="1"/>
  <c r="E49" i="17"/>
  <c r="G49" i="17" s="1"/>
  <c r="E62" i="17"/>
  <c r="G62" i="17" s="1"/>
  <c r="E66" i="17"/>
  <c r="G66" i="17" s="1"/>
  <c r="E72" i="17"/>
  <c r="G72" i="17" s="1"/>
  <c r="E87" i="17"/>
  <c r="G87" i="17" s="1"/>
  <c r="E19" i="17"/>
  <c r="G19" i="17" s="1"/>
  <c r="E59" i="17"/>
  <c r="G59" i="17" s="1"/>
  <c r="E65" i="17"/>
  <c r="G65" i="17" s="1"/>
  <c r="E75" i="17"/>
  <c r="G75" i="17" s="1"/>
  <c r="E10" i="17"/>
  <c r="G10" i="17" s="1"/>
  <c r="E16" i="17"/>
  <c r="G16" i="17" s="1"/>
  <c r="E22" i="17"/>
  <c r="G22" i="17" s="1"/>
  <c r="E36" i="17"/>
  <c r="G36" i="17" s="1"/>
  <c r="E46" i="17"/>
  <c r="G46" i="17" s="1"/>
  <c r="E68" i="17"/>
  <c r="G68" i="17" s="1"/>
  <c r="E73" i="17"/>
  <c r="G73" i="17" s="1"/>
  <c r="E100" i="17"/>
  <c r="G100" i="17" s="1"/>
  <c r="I12" i="1" l="1"/>
  <c r="E13" i="17"/>
  <c r="G13" i="17" s="1"/>
  <c r="E54" i="17"/>
  <c r="G54" i="17" s="1"/>
  <c r="E184" i="17"/>
  <c r="G184" i="17" s="1"/>
  <c r="E183" i="17"/>
  <c r="G183" i="17" s="1"/>
  <c r="E51" i="17"/>
  <c r="G51" i="17" s="1"/>
  <c r="E44" i="17"/>
  <c r="G44" i="17" s="1"/>
  <c r="E56" i="17"/>
  <c r="G56" i="17" s="1"/>
  <c r="E63" i="17"/>
  <c r="G63" i="17" s="1"/>
  <c r="G61" i="17" s="1"/>
  <c r="E85" i="17"/>
  <c r="G85" i="17" s="1"/>
  <c r="E89" i="17"/>
  <c r="G89" i="17" s="1"/>
  <c r="E52" i="17"/>
  <c r="G52" i="17" s="1"/>
  <c r="E48" i="17"/>
  <c r="G48" i="17" s="1"/>
  <c r="E99" i="17"/>
  <c r="G99" i="17" s="1"/>
  <c r="E88" i="17"/>
  <c r="G88" i="17" s="1"/>
  <c r="E28" i="17"/>
  <c r="G28" i="17" s="1"/>
  <c r="E11" i="17"/>
  <c r="G11" i="17" s="1"/>
  <c r="E27" i="17"/>
  <c r="G27" i="17" s="1"/>
  <c r="E24" i="17"/>
  <c r="G24" i="17" s="1"/>
  <c r="E26" i="17"/>
  <c r="G26" i="17" s="1"/>
  <c r="E14" i="17"/>
  <c r="G14" i="17" s="1"/>
  <c r="E78" i="17"/>
  <c r="G78" i="17" s="1"/>
  <c r="E32" i="17"/>
  <c r="G32" i="17" s="1"/>
  <c r="G38" i="17"/>
  <c r="E35" i="17"/>
  <c r="G35" i="17" s="1"/>
  <c r="E33" i="17"/>
  <c r="G33" i="17" s="1"/>
  <c r="E34" i="17"/>
  <c r="G34" i="17" s="1"/>
  <c r="E80" i="17"/>
  <c r="G80" i="17" s="1"/>
  <c r="I11" i="1" l="1"/>
  <c r="I105" i="1" s="1"/>
  <c r="G182" i="17"/>
  <c r="G84" i="17"/>
  <c r="G45" i="17"/>
  <c r="E81" i="17"/>
  <c r="G81" i="17" s="1"/>
  <c r="E37" i="17"/>
  <c r="G37" i="17" s="1"/>
  <c r="G31" i="17" s="1"/>
  <c r="E9" i="17"/>
  <c r="G9" i="17" s="1"/>
  <c r="G8" i="17" s="1"/>
  <c r="G191" i="17" s="1"/>
  <c r="I107" i="1" l="1"/>
  <c r="E79" i="17"/>
  <c r="G79" i="17" s="1"/>
  <c r="G77" i="17" s="1"/>
  <c r="J10" i="4" l="1"/>
  <c r="E96" i="17"/>
  <c r="G96" i="17" s="1"/>
  <c r="G90" i="17" s="1"/>
  <c r="I10" i="4" l="1"/>
  <c r="H10" i="4"/>
  <c r="G10" i="4"/>
  <c r="F10" i="4"/>
  <c r="D10" i="4"/>
  <c r="E10" i="4"/>
  <c r="E12" i="4" l="1"/>
  <c r="D12" i="4" l="1"/>
  <c r="F12" i="4"/>
  <c r="J16" i="4" l="1"/>
  <c r="I16" i="4" l="1"/>
  <c r="I28" i="4" s="1"/>
  <c r="G16" i="4"/>
  <c r="G28" i="4" s="1"/>
  <c r="H16" i="4"/>
  <c r="H28" i="4" s="1"/>
  <c r="D16" i="4"/>
  <c r="D28" i="4" s="1"/>
  <c r="J28" i="4" s="1"/>
  <c r="E16" i="4"/>
  <c r="E28" i="4" s="1"/>
  <c r="F16" i="4"/>
  <c r="F28" i="4" s="1"/>
  <c r="H29" i="4" l="1"/>
  <c r="I29" i="4"/>
  <c r="G29" i="4"/>
  <c r="D29" i="4"/>
  <c r="E29" i="4"/>
  <c r="F29" i="4"/>
  <c r="J29" i="4" l="1"/>
</calcChain>
</file>

<file path=xl/sharedStrings.xml><?xml version="1.0" encoding="utf-8"?>
<sst xmlns="http://schemas.openxmlformats.org/spreadsheetml/2006/main" count="1803" uniqueCount="759">
  <si>
    <t>PREFEITURA MUNICIPAL DE BOM CONSELHO</t>
  </si>
  <si>
    <t>ORÇAMENTO BASE POR TIPOLOGIA DESONERADO</t>
  </si>
  <si>
    <t>OBRA:</t>
  </si>
  <si>
    <t>REFORMA E REVITALIZAÇÃO DO CENTRO DE LAZER MUNICIPAL (BEIRA RIO)</t>
  </si>
  <si>
    <r>
      <t xml:space="preserve">BDI: </t>
    </r>
    <r>
      <rPr>
        <sz val="10"/>
        <rFont val="Calibri"/>
        <family val="2"/>
        <scheme val="minor"/>
      </rPr>
      <t>24,00 %</t>
    </r>
  </si>
  <si>
    <t>LOCAL:</t>
  </si>
  <si>
    <t>BOM CONSELHO/PE</t>
  </si>
  <si>
    <r>
      <t xml:space="preserve">DATA: </t>
    </r>
    <r>
      <rPr>
        <sz val="10"/>
        <rFont val="Calibri"/>
        <family val="2"/>
        <scheme val="minor"/>
      </rPr>
      <t>ABRIL / 2021</t>
    </r>
  </si>
  <si>
    <t>ITEM</t>
  </si>
  <si>
    <t>REFERENCIA DE PREÇO</t>
  </si>
  <si>
    <t>DISCRIMINAÇÃO DOS SERVIÇOS</t>
  </si>
  <si>
    <t>UNID</t>
  </si>
  <si>
    <t>QUANT.</t>
  </si>
  <si>
    <t>PREÇO UNITARIO</t>
  </si>
  <si>
    <t>PREÇO TOTAL COM BDI</t>
  </si>
  <si>
    <t>CODIGO</t>
  </si>
  <si>
    <t>DATA BASE</t>
  </si>
  <si>
    <t>SEM BDI</t>
  </si>
  <si>
    <t>COM BDI</t>
  </si>
  <si>
    <t>1.0</t>
  </si>
  <si>
    <t>INSTALAÇÕES PROVISORIAS</t>
  </si>
  <si>
    <t>1.1</t>
  </si>
  <si>
    <t>00004813</t>
  </si>
  <si>
    <t>SINAPI I 07/2021</t>
  </si>
  <si>
    <t>PLACA DE OBRA (PARA CONSTRUCAO CIVIL) EM CHAPA GALVANIZADA *N. 22*, ADESIVADA, DE *2,0 X 1,125* M</t>
  </si>
  <si>
    <t>m²</t>
  </si>
  <si>
    <t>1.2</t>
  </si>
  <si>
    <t>05088</t>
  </si>
  <si>
    <t>ORSE/SE 07/2021</t>
  </si>
  <si>
    <t>BARRACÃO PARA OBRAS DE MÉDIO PORTE REAPROVEITAMENTO 2 VEZES</t>
  </si>
  <si>
    <t>1.3</t>
  </si>
  <si>
    <t>SINAPI 07/2021</t>
  </si>
  <si>
    <t>TAPUME COM TELHA METÁLICA. AF_05/2018</t>
  </si>
  <si>
    <t>1.4</t>
  </si>
  <si>
    <t>LIMPEZA MANUAL DE VEGETAÇÃO EM TERRENO COM ENXADA.AF_05/2018</t>
  </si>
  <si>
    <t>1.5</t>
  </si>
  <si>
    <t>00026</t>
  </si>
  <si>
    <t>ORSE/SE 03/2021</t>
  </si>
  <si>
    <t>COLETA E CARGA MANUAIS DE ENTULHO</t>
  </si>
  <si>
    <t>m³</t>
  </si>
  <si>
    <t>2.0</t>
  </si>
  <si>
    <t xml:space="preserve">DEMOLIÇÕES </t>
  </si>
  <si>
    <t>2.1</t>
  </si>
  <si>
    <t>PISOS</t>
  </si>
  <si>
    <t>2.1.1</t>
  </si>
  <si>
    <t>03240</t>
  </si>
  <si>
    <t>DEMOLIÇÃO DE PISO DE ALTA RESISTÊNCIA</t>
  </si>
  <si>
    <t>2.1.2</t>
  </si>
  <si>
    <t>00021</t>
  </si>
  <si>
    <t>DEMOLIÇÃO DE MEIO-FIO GRANÍTICO OU PRÉ-MOLDADO</t>
  </si>
  <si>
    <t>m</t>
  </si>
  <si>
    <t>2.2</t>
  </si>
  <si>
    <t>PAREDES E ELEVAÇÕES</t>
  </si>
  <si>
    <t>2.2.1</t>
  </si>
  <si>
    <t>DEMOLIÇÃO DE ALVENARIA DE BLOCO FURADO, DE FORMA MANUAL, SEM REAPROVEITAMENTO. AF_12/2017</t>
  </si>
  <si>
    <t>2.2.2</t>
  </si>
  <si>
    <t>DEMOLIÇÃO DE PILARES E VIGAS EM CONCRETO ARMADO, DE FORMA MANUAL, SEM REAPROVEITAMENTO. AF_12/2017</t>
  </si>
  <si>
    <t>2.3</t>
  </si>
  <si>
    <t>GRADES E CERCA DE PROTEÇÃO</t>
  </si>
  <si>
    <t>2.3.1</t>
  </si>
  <si>
    <t>C3040</t>
  </si>
  <si>
    <t>SEINFRA/CE 027.1</t>
  </si>
  <si>
    <t>RETIRADA DE GRADE DE FERRO</t>
  </si>
  <si>
    <t>2.4</t>
  </si>
  <si>
    <t>COBERTA DA QUADRA</t>
  </si>
  <si>
    <t>2.4.1</t>
  </si>
  <si>
    <t>04740</t>
  </si>
  <si>
    <t>ANDAIME METÁLICO FACHADEIRO - LOCAÇÃO MENSAL , MONTAGEM E DESMONTAGEM</t>
  </si>
  <si>
    <t>m² x mês</t>
  </si>
  <si>
    <t>2.4.2</t>
  </si>
  <si>
    <t>04943</t>
  </si>
  <si>
    <t>REMOÇÃO DE TALHAMENTO COM TELHAS ONDULADAS FIBROCIMENTO OU ALUMÍNIO</t>
  </si>
  <si>
    <t>3.0</t>
  </si>
  <si>
    <t>INFRA-ESTRUTURA</t>
  </si>
  <si>
    <t>3.1</t>
  </si>
  <si>
    <t xml:space="preserve">LOCAÇÃO </t>
  </si>
  <si>
    <t>3.1.1</t>
  </si>
  <si>
    <t xml:space="preserve">04175	</t>
  </si>
  <si>
    <t>LOCAÇÃO DE PRAÇAS COM PIQUETES DE MADEIRA</t>
  </si>
  <si>
    <t>3.2</t>
  </si>
  <si>
    <t>DRENAGEM</t>
  </si>
  <si>
    <t>3.2.1</t>
  </si>
  <si>
    <t>TUBO DE CONCRETO PARA REDES COLETORAS DE ÁGUAS PLUVIAIS, DIÂMETRO DE 800 MM, JUNTA RÍGIDA, INSTALADO EM LOCAL COM BAIXO NÍVEL DE INTERFERÊNCIAS - FORNECIMENTO E ASSENTAMENTO. AF_12/2015</t>
  </si>
  <si>
    <t>3.3</t>
  </si>
  <si>
    <t>MOVIMENTO EM TERRA</t>
  </si>
  <si>
    <t>3.3.1</t>
  </si>
  <si>
    <t>ESCAVAÇÃO MANUAL DE VALA PARA VIGA BALDRAME, COM PREVISÃO DE FÔRMA. AF_06/2017</t>
  </si>
  <si>
    <t>3.3.2</t>
  </si>
  <si>
    <t>PREPARO DE FUNDO DE VALA COM LARGURA MENOR QUE 1,5 M (ACERTO DO SOLO NATURAL). AF_08/2020</t>
  </si>
  <si>
    <t>3.4</t>
  </si>
  <si>
    <t>RADIER</t>
  </si>
  <si>
    <t>3.4.1</t>
  </si>
  <si>
    <t>LASTRO DE CONCRETO MAGRO, APLICADO EM PISOS, LAJES SOBRE SOLO OU RADIERS, ESPESSURA DE 5 CM. AF_07/2016</t>
  </si>
  <si>
    <t>3.4.2</t>
  </si>
  <si>
    <t>(COMPOSIÇÃO REPRESENTATIVA) EXECUÇÃO DE ESTRUTURAS DE CONCRETO ARMADO, PARA EDIFICAÇÃO HABITACIONAL UNIFAMILIAR TÉRREA (CASA EM EMPREENDIMENTOS), FCK = 25 MPA. AF_01/2017</t>
  </si>
  <si>
    <t>3.5</t>
  </si>
  <si>
    <t xml:space="preserve">ELEVAÇÕES E REVESTIMENTOS </t>
  </si>
  <si>
    <t>3.5.1</t>
  </si>
  <si>
    <t>COMP - 01</t>
  </si>
  <si>
    <t>***</t>
  </si>
  <si>
    <t>ALVENARIA EM TIJOLO CERAMICO FURADO 9X19X19CM, 1 VEZ (ESPESSURA 19 CM), ASSENTADO EM ARGAMASSA TRACO 1:4 (CIMENTO E AREIA MEDIA NAO PENEIRADA), PREPARO MANUAL, JUNTA1 CM</t>
  </si>
  <si>
    <t>3.5.2</t>
  </si>
  <si>
    <t>CHAPISCO APLICADO EM ALVENARIAS E ESTRUTURAS DE CONCRETO INTERNAS, COM COLHER DE PEDREIRO. ARGAMASSA TRAÇO 1:3 COM PREPARO MANUAL. AF_06/2014</t>
  </si>
  <si>
    <t>3.5.3</t>
  </si>
  <si>
    <t>EMBOÇO OU MASSA ÚNICA EM ARGAMASSA TRAÇO 1:2:8, PREPARO MECÂNICO COM BETONEIRA 400 L, APLICADA MANUALMENTE EM PANOS CEGOS DE FACHADA (SEM PRESENÇA DE VÃOS), ESPESSURA DE 25 MM. AF_06/2014</t>
  </si>
  <si>
    <t>4.0</t>
  </si>
  <si>
    <t xml:space="preserve">PAVIMENTAÇÃO </t>
  </si>
  <si>
    <t>4.1</t>
  </si>
  <si>
    <t xml:space="preserve">REGULARIZAÇÃO MANUAL E COMPACTAÇÃO COM PLACA VIBRATÓRIA	</t>
  </si>
  <si>
    <t>4.2</t>
  </si>
  <si>
    <t>ASSENTAMENTO DE GUIA (MEIO-FIO) EM TRECHO RETO, CONFECCIONADA EM CONCRETO PRÉ-FABRICADO, DIMENSÕES 100X15X13X30 CM (COMPRIMENTO X BASE INFERIOR X BASE SUPERIOR X ALTURA), PARA VIAS URBANAS (USO VIÁRIO). AF_06/2016</t>
  </si>
  <si>
    <t>4.3</t>
  </si>
  <si>
    <t>04555</t>
  </si>
  <si>
    <t>MEIO-FIO DE CONCRETO SIMPLES, REJUNTADO COM ARGAMASSA DE CIMENTO E AREIA NO TRAÇO 1:3 (JARDIM)</t>
  </si>
  <si>
    <t>4.4</t>
  </si>
  <si>
    <t>EXECUÇÃO DE PASSEIO EM PISO INTERTRAVADO, COM BLOCO RETANGULAR COLORIDO DE 20 X 10 CM, ESPESSURA 6 CM. AF_12/2015</t>
  </si>
  <si>
    <t>4.5</t>
  </si>
  <si>
    <t>EXECUÇÃO DE PASSEIO EM PISO INTERTRAVADO, COM BLOCO RETANGULAR COR NATURAL DE 20 X 10 CM, ESPESSURA 6 CM. AF_12/2015</t>
  </si>
  <si>
    <t>4.6</t>
  </si>
  <si>
    <t>EXECUÇÃO DE PASSEIO (CALÇADA) OU PISO DE CONCRETO COM CONCRETO MOLDADO IN LOCO, FEITO EM OBRA, ACABAMENTO CONVENCIONAL, NÃO ARMADO. AF_07/2016</t>
  </si>
  <si>
    <t>4.7</t>
  </si>
  <si>
    <t>03641</t>
  </si>
  <si>
    <t>ACABAMENTO DE SUPERFÍCIE DE PISO DE CONCRETO COM POLIMENTO MECÂNICO COM ACABADORA SIMPLES - REV 02</t>
  </si>
  <si>
    <t>5.0</t>
  </si>
  <si>
    <t>PINTURA</t>
  </si>
  <si>
    <t>5.1</t>
  </si>
  <si>
    <t>REMOÇÃO DE PINTURA</t>
  </si>
  <si>
    <t>5.1.1</t>
  </si>
  <si>
    <t>08040</t>
  </si>
  <si>
    <t xml:space="preserve">REMOÇÃO DE PINTURA A BASE ESMALTE, UTILIZANDO REMOVEDOR DE TINTA CORAL OU SIMILAR - REV 02	</t>
  </si>
  <si>
    <t>5.1.2</t>
  </si>
  <si>
    <t>07725</t>
  </si>
  <si>
    <t>REMOÇÃO DE PINTURA LÁTEX (RASPAGEM E/OU LIXAMENTO E/OU ESCOVAÇÃO)</t>
  </si>
  <si>
    <t>5.2</t>
  </si>
  <si>
    <t>5.2.1</t>
  </si>
  <si>
    <t>APLICAÇÃO DE FUNDO SELADOR ACRÍLICO EM PAREDES, UMA DEMÃO. AF_06/2014</t>
  </si>
  <si>
    <t>5.2.2</t>
  </si>
  <si>
    <t>APLICAÇÃO MANUAL DE PINTURA COM TINTA LÁTEX ACRÍLICA EM PAREDES, DUAS DEMÃOS. AF_06/2014</t>
  </si>
  <si>
    <t>5.2.3</t>
  </si>
  <si>
    <t>PINTURA TINTA DE ACABAMENTO (PIGMENTADA) ESMALTE SINTÉTICO FOSCO EM MADEIRA, 1 DEMÃO. AF_01/2021</t>
  </si>
  <si>
    <t>5.2.4</t>
  </si>
  <si>
    <t>PINTURA COM TINTA ACRÍLICA DE ACABAMENTO PULVERIZADA SOBRE SUPERFÍCIES METÁLICAS (EXCETO PERFIL) EXECUTADO EM OBRA (POR DEMÃO). AF_01/2020_P</t>
  </si>
  <si>
    <t>5.2.5</t>
  </si>
  <si>
    <t>PINTURA DE PISO COM TINTA ACRÍLICA, APLICAÇÃO MANUAL, 3 DEMÃOS, INCLUSO FUNDO PREPARADOR. AF_05/2021</t>
  </si>
  <si>
    <t>6.0</t>
  </si>
  <si>
    <t>COBERTURA</t>
  </si>
  <si>
    <t>6.1</t>
  </si>
  <si>
    <t>REVISÃO</t>
  </si>
  <si>
    <t>6.1.1</t>
  </si>
  <si>
    <t>00264</t>
  </si>
  <si>
    <t xml:space="preserve">REVISÃO EM COBERTURA COM TELHA DE FIBROCIMENTO ONDULADA 4MM	</t>
  </si>
  <si>
    <t>6.2</t>
  </si>
  <si>
    <t>TELHAMENTO</t>
  </si>
  <si>
    <t>6.2.1</t>
  </si>
  <si>
    <t>6.2.2</t>
  </si>
  <si>
    <t>TELHAMENTO COM TELHA DE AÇO/ALUMÍNIO E = 0,5 MM, COM ATÉ 2 ÁGUAS, INCLUSO IÇAMENTO. AF_07/2019</t>
  </si>
  <si>
    <t>7.0</t>
  </si>
  <si>
    <t>ESQUADRIAS E GRADIL</t>
  </si>
  <si>
    <t>7.1</t>
  </si>
  <si>
    <t>7.1.1</t>
  </si>
  <si>
    <t>01797</t>
  </si>
  <si>
    <t xml:space="preserve">REVISÃO DE ESQUADRIA DE MADEIRA </t>
  </si>
  <si>
    <t>7.1.2</t>
  </si>
  <si>
    <t>01859</t>
  </si>
  <si>
    <t>REVISÃO DE ESQUADRIA DE FERRO</t>
  </si>
  <si>
    <t>7.2</t>
  </si>
  <si>
    <t>GRADIL LATERAL</t>
  </si>
  <si>
    <t>7.2.1</t>
  </si>
  <si>
    <t>GRADIL COM QUADRO EM TUBO DE FERRO GALVANIZADO 1 1/4" E TELA GALVANIZADA MALHA 2"</t>
  </si>
  <si>
    <t>7.3</t>
  </si>
  <si>
    <t>GRADIL FRONTAL</t>
  </si>
  <si>
    <t>7.3.1</t>
  </si>
  <si>
    <t>09035</t>
  </si>
  <si>
    <t>GRADIL NYLOFOR 3D, MALHA 20X5CM, Ø 5MM 250X243 CM, PINTURA BRANCA, VERDE E PRETA, BELGO OU SIMILAR, INCLUSIVE POSTES (SECÇÃO 60X40MM E H=3,20M) E ACESSÓRIOS</t>
  </si>
  <si>
    <t>7.3.2</t>
  </si>
  <si>
    <t>09072</t>
  </si>
  <si>
    <t xml:space="preserve">PORTÃO EM FERRO, EM GRADIL METÁLICO, PADRÃO BELGO OU EQUIVALENTE, DE CORRER	</t>
  </si>
  <si>
    <t>8.0</t>
  </si>
  <si>
    <t xml:space="preserve">INSTALAÇÕES ELETRICAS E ILUMINAÇÃO </t>
  </si>
  <si>
    <t>8.1</t>
  </si>
  <si>
    <t>8.1.1</t>
  </si>
  <si>
    <t>00632</t>
  </si>
  <si>
    <t xml:space="preserve">REVISÃO DE PONTO DE INTERRUPTOR COM REPOSIÇÃO DO INTERRUPTOR E FIAÇÃO	</t>
  </si>
  <si>
    <t>Pt</t>
  </si>
  <si>
    <t>8.1.2</t>
  </si>
  <si>
    <t>00625</t>
  </si>
  <si>
    <t>REVISÃO DE PONTO DE LUZ TIPO 2, EM TETO OU PAREDE</t>
  </si>
  <si>
    <t>8.1.3</t>
  </si>
  <si>
    <t>00628</t>
  </si>
  <si>
    <t>REVISÃO DE PONTO DE TOMADA SIMPLES COM REPOSIÇÃO DA TOMADA E DA FIAÇÃO</t>
  </si>
  <si>
    <t>8.2</t>
  </si>
  <si>
    <t>INSTALAÇÕES NOVAS</t>
  </si>
  <si>
    <t>8.2.1</t>
  </si>
  <si>
    <t>ELETRODUTO RÍGIDO ROSCÁVEL, PVC, DN 50 MM (1 1/2") - FORNECIMENTO E INSTALAÇÃO. AF_12/2015</t>
  </si>
  <si>
    <t>8.2.2</t>
  </si>
  <si>
    <t>ELETRODUTO RÍGIDO SOLDÁVEL, PVC, DN 32 MM (1), APARENTE, INSTALADO EM TETO - FORNECIMENTO E INSTALAÇÃO. AF_11/2016_P</t>
  </si>
  <si>
    <t>8.2.3</t>
  </si>
  <si>
    <t>CABO DE COBRE FLEXÍVEL ISOLADO, 10 MM², ANTI-CHAMA 450/750 V, PARA CIRCUITOS TERMINAIS - FORNECIMENTO E INSTALAÇÃO. AF_12/2015</t>
  </si>
  <si>
    <t>8.2.4</t>
  </si>
  <si>
    <t>CABO DE COBRE FLEXÍVEL ISOLADO, 4 MM², ANTI-CHAMA 450/750 V, PARA CIRCUITOS TERMINAIS - FORNECIMENTO E INSTALAÇÃO. AF_12/2015</t>
  </si>
  <si>
    <t>8.2.5</t>
  </si>
  <si>
    <t>04404</t>
  </si>
  <si>
    <t xml:space="preserve">CAIXA DE PASSAGEM EM ALVENARIA DE TIJOLOS MACIÇOS ESP. = 0,12M, DIM. INT. = 0,30 X 0,30 X 0,50M	</t>
  </si>
  <si>
    <t>Ud</t>
  </si>
  <si>
    <t>8.2.6</t>
  </si>
  <si>
    <t>REFLETOR SLIM LED 200W DE POTÊNCIA, BRANCO FRIO, 6500K, AUTOVOLT, MARCA G-LIGHT OU SIMILAR</t>
  </si>
  <si>
    <t>8.2.7</t>
  </si>
  <si>
    <t>100619 + 00042244</t>
  </si>
  <si>
    <t>SINAPI + I 07/2021</t>
  </si>
  <si>
    <t>POSTE DECORATIVO PARA JARDIM EM AÇO TUBULAR, H = *2,5* M, SEM LUMINÁRIA - FORNECIMENTO E INSTALAÇÃO. AF_11/2019 + LUMINARIA DE LED PARA ILUMINACAO PUBLICA, DE 33 W ATE 50 W, INVOLUCRO EM ALUMINIO OU ACO INOX</t>
  </si>
  <si>
    <t>8.2.8</t>
  </si>
  <si>
    <t>COMP - 02</t>
  </si>
  <si>
    <t>ASSENTAMENTO DE CHAVE MAGNETICA 2 X 30A P/ COMANDO ILUMINACAO PUBLICA, ACIONADA POR RELE FOTOELETRICO NA 220V/60HZ, TIPO LUX CONTROL MODELO CIP-I/70 OU EQUIV. INCLUSIVE QUADRO.</t>
  </si>
  <si>
    <t>8.2.9</t>
  </si>
  <si>
    <t>COMP - 03</t>
  </si>
  <si>
    <t>CONJUNTO DE ILUMINAÇÃO C/04 PÉTALAS E LÂMPADAS DE LED 120W, MONTADA EM POSTE DE AÇO GALVANIZADO CIRCULAR, CHUMBADOR DE AÇO E FIAÇÃO - H=9M (MOD. AV. AGAMENOM MAGALHÃES CARUARU)</t>
  </si>
  <si>
    <t>9.0</t>
  </si>
  <si>
    <t>SERVIÇOS FINAIS</t>
  </si>
  <si>
    <t>9.1</t>
  </si>
  <si>
    <t>BANCOS E PERGOLADOS</t>
  </si>
  <si>
    <t>9.1.1</t>
  </si>
  <si>
    <t>03602</t>
  </si>
  <si>
    <t>MADEIRA ANGELIN VERMELHO, SERRADA, APARELHADA EM DIMENSÕES E COMPRIMENTOS PRÉ ESTABELECIDOS</t>
  </si>
  <si>
    <t>9.2</t>
  </si>
  <si>
    <t>PAISAGISMO</t>
  </si>
  <si>
    <t>9.2.1</t>
  </si>
  <si>
    <t xml:space="preserve">GRAMA ESMERALDA EM PLACAS, FORNECIMENTO E PLANTIO	</t>
  </si>
  <si>
    <t>9.3</t>
  </si>
  <si>
    <t>URBANIZAÇÃO</t>
  </si>
  <si>
    <t>9.3.1</t>
  </si>
  <si>
    <t>00010848</t>
  </si>
  <si>
    <t>PLACA DE INAUGURACAO METALICA, *40* CM X *60* CM</t>
  </si>
  <si>
    <t>9.3.2</t>
  </si>
  <si>
    <t xml:space="preserve">MESA C/ TAMPO Ø=1,00M EM CONCRETO ARMADO POLIDO SOBRE TUBO DE CONCRETO ARMADO Ø=0,40M, E 4 BANCOS EM CONCRETO ARMADO Ø=0,40M, COM PINTURA ACRÍLICA COR CINZA GRAFITE DA CORAL OU SIMILAR.	</t>
  </si>
  <si>
    <t>9.3.3</t>
  </si>
  <si>
    <t>02406</t>
  </si>
  <si>
    <t xml:space="preserve">BALANÇO 3 LUGARES EM AÇO INDUSTRIAL OU MADEIRA, SERGIPARK OU SIMILAR	</t>
  </si>
  <si>
    <t>9.3.4</t>
  </si>
  <si>
    <t>02440</t>
  </si>
  <si>
    <t xml:space="preserve">GANGORRA COM 3 PRANCHAS EM AÇO INDUSTRIAL OU MADEIRA (SERGIPARK OU SIMILAR)	</t>
  </si>
  <si>
    <t>9.3.5</t>
  </si>
  <si>
    <t>02418</t>
  </si>
  <si>
    <t xml:space="preserve">ESCORREGADEIRA EM AÇO CARBONO C/2,00M DE PISTA (SERGIPARK OU SIMILAR)	</t>
  </si>
  <si>
    <t>9.4</t>
  </si>
  <si>
    <t>REVESTIMENTO METALICO</t>
  </si>
  <si>
    <t>9.4.1</t>
  </si>
  <si>
    <t>05057</t>
  </si>
  <si>
    <t xml:space="preserve">REVESTIMENTO METÁLICO EM ALUMÍNIO COMPOSTO (ALUCOBOND), E=0,3MM, PINTURA KAYNAR 500 COMPOSTA POR SEIS CAMADAS, INCLUSIVE ESTRUTURA METÁLICA AUXILIAR EM PERFIL DE VIGA "U" DE 2" - FORNECIMENTO E MONTAGEM	</t>
  </si>
  <si>
    <t>TOTAL GERAL R$</t>
  </si>
  <si>
    <t>* OS ENCARGOS SOCIAIS ATENDEM AO ESTABELECIDO NO SINAPI/PE, PARA MÃO-DE-OBRA HORISTA E MENSALISTA, COM DESONERAÇÃO.</t>
  </si>
  <si>
    <t xml:space="preserve">PRAÇA SANTA ROSA </t>
  </si>
  <si>
    <t>TIJOLOS 8 FUROS</t>
  </si>
  <si>
    <t>8 MIL</t>
  </si>
  <si>
    <t>BRITA</t>
  </si>
  <si>
    <t>4M³</t>
  </si>
  <si>
    <t>INTERTRAVADO CINZA</t>
  </si>
  <si>
    <t>425 M²</t>
  </si>
  <si>
    <t>INTERTRAVADO AMARELO</t>
  </si>
  <si>
    <t>310 M</t>
  </si>
  <si>
    <t>ORÇAMENTO BASE</t>
  </si>
  <si>
    <t>DATA:</t>
  </si>
  <si>
    <t>Item</t>
  </si>
  <si>
    <t>Código</t>
  </si>
  <si>
    <t>Discriminação dos serviços</t>
  </si>
  <si>
    <t>Unid.</t>
  </si>
  <si>
    <t>Quant.</t>
  </si>
  <si>
    <t>P. Unitário</t>
  </si>
  <si>
    <t xml:space="preserve"> P. Total </t>
  </si>
  <si>
    <t>Sinapi 10/13</t>
  </si>
  <si>
    <t>Com BDI 24%</t>
  </si>
  <si>
    <t>Serviços Preliminares</t>
  </si>
  <si>
    <t>73822/002 SINAPI RECIFE 10/2013</t>
  </si>
  <si>
    <t>LIMPEZA DO TERRENO - RASPAGEM MECANIZADA (MOTONIVELADORA) DE CAMADA VEGETAL</t>
  </si>
  <si>
    <t>73948/016 SINAPI RECIFE 10/2013</t>
  </si>
  <si>
    <t>LIMPEZA MANUAL DO TERRENO (C/ RASPAGEM SUPERFICIAL)</t>
  </si>
  <si>
    <t>74209/001 SINAPI RECIFE 10/2013</t>
  </si>
  <si>
    <t>PLACA DE OBRA EM CHAPA GALVANIZADA</t>
  </si>
  <si>
    <t>73992/001 SINAPI RECIFE 10/2013</t>
  </si>
  <si>
    <t>LOCAÇÃO CONVENCIONAL DE OBRAS, ATRAVÉS DE GABARITO DE TÁBUAS CORRIDAS PONTALETADAS A CADA 1,50 M.</t>
  </si>
  <si>
    <t>73803/001 SINAPI RECIFE 10/2013</t>
  </si>
  <si>
    <t>GALPÃO ABERTO PARA OFICINA E DEPÓSITO DE CANTEIRO DE OBRAS, EM MADEIRA DE LEI</t>
  </si>
  <si>
    <t>73805/001 SINAPI RECIFE 10/2013</t>
  </si>
  <si>
    <t>BARRACÃO DE OBRA PARA ALOJAMENTO/ESCRITÓRIO, PISO EM PINHO 3A, PAREDES EM COMPENSADO 10 MM, COBERTURA EM TELHA AMIANTO 6 MM, INCLUSIVE INSTALAÇÕES ELÉTRICAS E ESQUADRIAS</t>
  </si>
  <si>
    <t>74210/001 SINAPI RECIFE 10/2013</t>
  </si>
  <si>
    <t>BARRACÃO PARA DEPÓSITO EM TÁBUAS DE MADEIRA,  COBERTURA EM FIBROCIMENTO 4 MM, INCLUSIVE PISO ARGAMASSA 1:6 (CIMENTO E AREIA)</t>
  </si>
  <si>
    <t>74242/001 SINAPI RECIFE 10/2013</t>
  </si>
  <si>
    <t>BARRACÃO DE OBRA EM TÁBUAS DE MADEIRA COM BANHEIRO, COBERTURA EM EM FIBROCIMENTO 4 MM, INCLUSO INSTALAÇÕES HIDRO-SANITÁRIAS E ELÉTRICAS.</t>
  </si>
  <si>
    <t>74220/001 SINAPI RECIFE 10/2013</t>
  </si>
  <si>
    <t>TAPUME DE CHAPA DE MADEIRA COMPENSADA (6 MM) - PINTURA A CAL - APROVEITAMENTO 2 X</t>
  </si>
  <si>
    <t>72230 SINAPI RECIFE 10/2013</t>
  </si>
  <si>
    <t>RETIRADA DE TELHAS CERÂMICAS OU DE VIDRO</t>
  </si>
  <si>
    <t>72231 SINAPI RECIFE 10/2013</t>
  </si>
  <si>
    <t>RETIRADA DE TELHAS ONDULADAS</t>
  </si>
  <si>
    <t>72226 SINAPI RECIFE 10/2013</t>
  </si>
  <si>
    <t>RETIRADA DE ESTRUTURA DE MADEIRA PONTALETADA PARA TELHAS CERÂMICAS OU DE VIDRO</t>
  </si>
  <si>
    <t>72227 SINAPI RECIFE 10/2013</t>
  </si>
  <si>
    <t>RETIRADA DE ESTRUTURA DE MADEIRA PONTALETADA PARA TELHAS ONDULADAS</t>
  </si>
  <si>
    <t>72228 SINAPI RECIFE 10/2013</t>
  </si>
  <si>
    <t>RETIRADA DE ESTRUTURA DE MADEIRA COM TESOURAS PARA TELHAS CERÂMICAS OU DE VIDRO</t>
  </si>
  <si>
    <t>72229 SINAPI RECIFE 10/2013</t>
  </si>
  <si>
    <t>RETIRADA DE ESTRUTURA DE MADEIRA COM TESOURAS PARA TELHAS ONDULADAS</t>
  </si>
  <si>
    <t>72142 SINAPI RECIFE 10/2013</t>
  </si>
  <si>
    <t>RETIRADA DE FOLHAS DE PORTA DE PASSAGEM OU JANELA</t>
  </si>
  <si>
    <t>72143 SINAPI RECIFE 10/2013</t>
  </si>
  <si>
    <t>RETIRADA DE BATENTES DE MADEIRA</t>
  </si>
  <si>
    <t xml:space="preserve">73801/001 SINAPI RECIFE 10/2013 </t>
  </si>
  <si>
    <t>DEMOLICAO DE PISO DE ALTA RESISTENCIA</t>
  </si>
  <si>
    <t>73802/001 SINAPI RECIFE 10/2013</t>
  </si>
  <si>
    <t>DEMOLIÇÃO DE REVESTIMENTO COM ARGAMASSA DE CAL E AREIA</t>
  </si>
  <si>
    <t>73899/002 SINAPI RECIFE 10/2013</t>
  </si>
  <si>
    <t>DEMOLIÇÃO DE ALVENARIA DE TIJOLOS FURADOS S/REAPROVEITAMENTO</t>
  </si>
  <si>
    <t>72216 SINAPI RECIFE 10/2013</t>
  </si>
  <si>
    <t>DEMOLIÇÃO DE VERGAS, CINTAS E PILARETES DE CONCRETO.</t>
  </si>
  <si>
    <t xml:space="preserve">03.01.080 EMLURB RECIFE 10/2013  </t>
  </si>
  <si>
    <t>DEMOLICAO DE REVESTIMENTO DE PISO COM LADRILHO HIDRAULICO, LAJOTA OU CERAMICO.</t>
  </si>
  <si>
    <t>Infra-estrutura</t>
  </si>
  <si>
    <t>73965/010 SINAPI RECIFE 10/2013</t>
  </si>
  <si>
    <t>ESCAVAÇÃO MANUAL DE VALA EM MATERIAL DE 1ª CATEGORIA ATÉ 1,50 M, EXCLUINDO ESGOTAMENTO / ESCORAMENTO.</t>
  </si>
  <si>
    <t>83532 SINAPI RECIFE 10/2013</t>
  </si>
  <si>
    <t>LASTRO DE CONCRETO TRACO 1:4:8, PREPARO MECANICO</t>
  </si>
  <si>
    <t xml:space="preserve">06.03.103 EMLURB RECIFE 10/2013  </t>
  </si>
  <si>
    <t>CONCRETO ARMADO PRONTO, FCK 25 MPA CONDICAO A (NBR 12655), LANCADO EM FUNDACOES E ADENSADO, INCLUSIVE FORMA, ESCORAMENTO E FERRAGEM.</t>
  </si>
  <si>
    <t>73935/002 SINAPI RECIFE 10/2013</t>
  </si>
  <si>
    <t>ALVENARIA EM TIJOLO CERAMICO FURADO 10X20X20CM, 1 VEZ, ASSENTADO EM ARGAMASSA TRACO 1:5 (CIMENTO E AREIA), E=1CM</t>
  </si>
  <si>
    <t>73904/001 SINAPI RECIFE 10/2013</t>
  </si>
  <si>
    <t>ATERRO APILOADO (MANUAL) EM CAMADAS DE 20 CM COM MATERIAL DE EMPRÉSTIMO</t>
  </si>
  <si>
    <t>73964/004 SINAPI RECIFE 10/2013</t>
  </si>
  <si>
    <t>REATERRO DE VALAS / CAVAS, COMPACTADA A MAÇO, EM CAMADAS DE ATÉ 30 CM</t>
  </si>
  <si>
    <t>Superestrutura</t>
  </si>
  <si>
    <t>06.03.143 EMLURB RECIFE 10/2013</t>
  </si>
  <si>
    <t>CONCRETO ARMADO PRONTO, FCK 25 MPA, CONDICAO A (NBR 12655),LANCADO EM QUALQUER TIPO DE ESTRUTURA E ADENSADO, INCLUSIVE FORMA, ESCORAMENTO E FERRAGEM.</t>
  </si>
  <si>
    <t>73935/001 SINAPI RECIFE 10/2013</t>
  </si>
  <si>
    <t>ALVENARIA DE TIJOLOS  CERÂMICO FURADO 10X20X20 CM, 1/2 VEZ, ASSENTADO EM ARGAMASSA TRAÇO 1:4 (CIMENTO E AREIA).</t>
  </si>
  <si>
    <t>74141/001 SINAPI RECIFE 10/2013</t>
  </si>
  <si>
    <t>LAJE PRÉ-MOLD BETA 11 P/1KN/M² VÃOS 4,40 M/INCL. VIGOTAS, TIJOLOS, ARMADURA NEGATIVA, CAPEAMENTO 3 CM, CONCRETO 15 MPA, ESCORAMENTO, MATERIAL E MÃO-DE-OBRA</t>
  </si>
  <si>
    <t>74202/001 SINAPI RECIFE 10/2013</t>
  </si>
  <si>
    <t>LAJE PRÉ-MOLDADA P/ FORRO, SOBRECARGA 100 KG/M², VÃOS ATÉ 3,50 M/E= 8 CM,C/LAJOTAS E CAP. C/ CONC. FCK = 20 MPA, 3 CM, INTER-EIXO 38 CM, C/ESCORAMENTO (REAPR. 3X) E FERRAGEM NEGATIVA</t>
  </si>
  <si>
    <t>74202/002 SINAPI RECIFE 10/2013</t>
  </si>
  <si>
    <t>LAJE PRÉ-MOLDADA P/ PISO, SOBRECARGA 200 KG/M², VÃOS ATÉ 3,50 M/E= 8 CM,C/LAJOTAS E CAP. C/ CONC. FCK = 20 MPA, 4 CM, INTER-EIXO 38 CM, C/ESCORAMENTO (REAPR. 3X) E FERRAGEM NEGATIVA</t>
  </si>
  <si>
    <t>73937/003 SINAPI RECIFE 10/2013</t>
  </si>
  <si>
    <t>COBOGO DE CONCRETO (ELEMENTO VAZADO), 7X50X50 CM, ASSENTADO COM ARGAMASSA TRAÇO 1:3 (CIMENTO E AREIA)</t>
  </si>
  <si>
    <t>Coberta</t>
  </si>
  <si>
    <t>72077 SINAPI RECIFE 10/2013</t>
  </si>
  <si>
    <t>ESTRUTURA DE MADEIRA DE LEI 1ª SERRADA NÃO APARELHADA, PARA TELHAS CERÂMICAS, VÃOS ATÉ 7 M</t>
  </si>
  <si>
    <t>72081 SINAPI RECIFE 10/2013</t>
  </si>
  <si>
    <t>ESTRUTURA DE MADEIRA DE LEI 1ª SERRADA NÃO APARELHADA, PARA TELHAS ONDULADAS, VÃOS ATÉ 7 M</t>
  </si>
  <si>
    <t>72110 SINAPI RECIFE 10/2013</t>
  </si>
  <si>
    <t>ESTRUTURA METALICA EM TESOURAS OU TRELICAS, VAO LIVRE DE 12M, FORNECIMENTO E MONTAGEM, NAO SENDO CONSIDERADOS OS FECHAMENTOS METALICOS, AS COLUNAS, OS SERVICOS GERAIS EM ALVENARIA E CONCRETO, AS TELHAS DE COBERTURA E A PINTURA DE ACABAMENTO</t>
  </si>
  <si>
    <t>84033 SINAPI RECIFE 10/2013</t>
  </si>
  <si>
    <t>COBERTURA COM TELHA COLONIAL, EXCLUINDO MADEIRAMENTO</t>
  </si>
  <si>
    <t>84033  7176 SINAPI RECIFE 10/2013</t>
  </si>
  <si>
    <t>COBERTURA COM TELHA COLONIAL REAPROVEITADA, EXCLUINDO MADEIRAMENTO</t>
  </si>
  <si>
    <t>C2452 SEINFRA DESONERADA 11/2013</t>
  </si>
  <si>
    <t>TELHA TIPO ONDULINE EM ESTRUTURA METÁLICA</t>
  </si>
  <si>
    <t>C1004 SEINFRA DESONERADA 11/2013</t>
  </si>
  <si>
    <t>CUMEEIRA TIPO ONDULINE EM ESTRUTURA METÁLICA</t>
  </si>
  <si>
    <t>74045/001 SINAPI RECIFE 10/2013</t>
  </si>
  <si>
    <t>CUMEEIRA UNIVERSAL PARA TELHA DE FIBROCIMENTO ONDULADA ESPESSURA 6 MM, INCLUSO JUNTAS DE VEDACAO E ACESSORIOS DE FIXACAO</t>
  </si>
  <si>
    <t>6058 SINAPI RECIFE 10/2013</t>
  </si>
  <si>
    <t>CUMEEIRA COM TELHA CERAMICA EMBOCADA COM ARGAMASSA TRACO 1:2:8 (CIMENTO, CAL HIDRATADA E AREIA)</t>
  </si>
  <si>
    <t>73938/007 SINAPI RECIFE 10/2013</t>
  </si>
  <si>
    <t>EMBOÇAMENTO DA ÚLTIMA FIADA DE TELHA PLAN, COLONIAL OU PAULISTA, COM ARGAMASSA NO TRAÇO 1:2:8 (CIMENTO, CAL HIDRATADA E AREIA)</t>
  </si>
  <si>
    <t>72105 SINAPI RECIFE 10/2013</t>
  </si>
  <si>
    <t>CALHA DE CHAPA GALVANIZADA  N. 24, DESENVOLVIMENTO 50 CM</t>
  </si>
  <si>
    <t>84043 SINAPI RECIFE 10/2013</t>
  </si>
  <si>
    <t>CALHA DE CONCRETO, 30X15 CM, ESPESSURA 8 CM PREPARADA EM BETONEIRA COM CIMENTADO LISO EXECUTADO COM ARGAMASSA TRACO 1:4 (CIMENTO E AREIA MEDIA NAO PENEIRADA), PREPARO MANUAL</t>
  </si>
  <si>
    <t>72106 SINAPI RECIFE 10/2013</t>
  </si>
  <si>
    <t>RUFO EM CHAPA DE ACO GALVANIZADO NUMERO 24, DESENVOLVIMENTO DE 16CM</t>
  </si>
  <si>
    <t>73753/001 SINAPI RECIFE 10/2013</t>
  </si>
  <si>
    <t>IMPERMEABILIZACAO DE SUPERFICIE COM MANTA ASFALTICA PROTEGIDA COM FILME DE ALUMINIO GOFRADO (DE ESPESSURA 0,8MM), INCLUSA APLICACAO DE EMULSAO ASFALTICA, E=3MM.</t>
  </si>
  <si>
    <t>Esquadria</t>
  </si>
  <si>
    <t>73910/005 SINAPI RECIFE 10/2013</t>
  </si>
  <si>
    <t>PORTA DE MADEIRA COMPENSADA LISA PARA PINTURA, INCLUSO ADUELA 2A, ALIZAR 2A, DOBRADICA E FECHADURA EXTERNA PADRAO POPULAR</t>
  </si>
  <si>
    <t>0,8X2,1=1,68</t>
  </si>
  <si>
    <t>73880/002 SINAPI RECIFE 10/2013</t>
  </si>
  <si>
    <t>PORTA DE MADEIRA ALMOFADADA SEMI-OCA 1A, INCLUSO ADUELA, ALIZAR, DOBRADICA E FECHADURA EXTERNA PADRAO POPULAR</t>
  </si>
  <si>
    <t>73813/001 SINAPI RECIFE 10/2013</t>
  </si>
  <si>
    <t>JANELA DE ABRIR DE MADEIRA 1A COM ALMOFADA, INCLUSO GUARNICOES E DOBRADICAS</t>
  </si>
  <si>
    <t>1,5X1,5=2,25</t>
  </si>
  <si>
    <t>74067/001 SINAPI RECIFE 10/2013</t>
  </si>
  <si>
    <t>JANELA ALUMINIO DE CORRER, 2 FOLHAS PARA VIDRO, SEM BANDEIRA, LINHA 25</t>
  </si>
  <si>
    <t>74067/003 SINAPI RECIFE 10/2013</t>
  </si>
  <si>
    <t>JANELA ALUMINIO DE CORRER, VENEZIANA, COM BANDEIRA, LINHA 25</t>
  </si>
  <si>
    <t>74068/002 SINAPI RECIFE 10/2013</t>
  </si>
  <si>
    <t>FECHADURA DE EMBUTIR COMPLETA, PARA PORTAS EXTERNAS, PADRAO DE ACABAMENTO POPULAR</t>
  </si>
  <si>
    <t>74070/003 SINAPI RECIFE 10/2013</t>
  </si>
  <si>
    <t>FECHADURA DE EMBUTIR COMPLETA, PARA PORTAS INTERNAS, PADRAO DE ACABAMENTO POPULAR</t>
  </si>
  <si>
    <t>6104 SINAPI RECIFE 10/2013</t>
  </si>
  <si>
    <t>JANELA BASCULANTE EM CHAPA DE ACO</t>
  </si>
  <si>
    <t>73933/004 SINAPI RECIFE 10/2013</t>
  </si>
  <si>
    <t>PORTA DE FERRO, DE ABRIR, BARRA CHATA COM REQUADRO E GUARNIÇÃO</t>
  </si>
  <si>
    <t>RECUPERAÇÃO DE ESQUADRIAS DE MADEIRA</t>
  </si>
  <si>
    <t>73932/001 SINAPI RECIFE 10/2013</t>
  </si>
  <si>
    <t>GRADE DE FERRO EM BARRA CHATA 3/16"</t>
  </si>
  <si>
    <t>74100/001 SINAPI RECIFE 10/2013</t>
  </si>
  <si>
    <t>PORTAO DE FERRO COM VARA 1/2", COM REQUADRO</t>
  </si>
  <si>
    <t>74136/003 SINAPI RECIFE 10/2013</t>
  </si>
  <si>
    <t>PORTA DE ACO DE ENROLAR ONDULADA CHAPA 24 RAIADA LARGA</t>
  </si>
  <si>
    <t>72122 SINAPI RECIFE 10/2013</t>
  </si>
  <si>
    <t>VIDRO FANTASIA TIPO CANELADO, ESPESSURA 4MM</t>
  </si>
  <si>
    <t>72117 SINAPI RECIFE 10/2013</t>
  </si>
  <si>
    <t>VIDRO LISO COMUM TRANSPARENTE, ESPESSURA 4MM</t>
  </si>
  <si>
    <t>Revestimento</t>
  </si>
  <si>
    <t>73928/002 SINAPI RECIFE 10/2013</t>
  </si>
  <si>
    <t>CHAPISCO TRACO 1:3 (CIMENTO E AREIA), ESPESSURA 0,5CM, PREPARO MANUAL</t>
  </si>
  <si>
    <t>73927/009 SINAPI RECIFE 10/2013</t>
  </si>
  <si>
    <t>EMBOCO PAULISTA (MASSA UNICA) TRACO 1:2:8 (CIMENTO, CAL E AREIA MEDIA), ESPESSURA 2,0CM, PREPARO MANUAL DA ARGAMASSA</t>
  </si>
  <si>
    <t>5990 SINAPI RECIFE 10/2013</t>
  </si>
  <si>
    <t>EMBOCO TRACO 1:2:8 (CIMENTO, CAL E AREIA MEDIA), ESPESSURA 2,0CM, PREPARO MECANICO DA ARGAMASSA</t>
  </si>
  <si>
    <t>73912/001 SINAPI RECIFE 10/2013</t>
  </si>
  <si>
    <t>CERAMICA ESMALTADA EM PAREDES 1A, PEI-4, 20X20CM, PADRAO MEDIO, FIXADA</t>
  </si>
  <si>
    <t>colocar outros</t>
  </si>
  <si>
    <t>73925/002 SINAPI RECIFE 10/2013</t>
  </si>
  <si>
    <t>AZULEJO 1A 15X15CM FIXADO ARGAMASSA COLANTE, REJUNTAMENTO COM CIMENTO</t>
  </si>
  <si>
    <t>11.06.053 EMLURB RECIFE 10/2013</t>
  </si>
  <si>
    <t>REVESTIMENTO EM PAREDE COM CERAMICA ESMALTADA 10X10CM,TIPO A, BRANCA,  ELIANE,PORTO RICO,SAMARSA, ELIZABETH OU SIMILAR, ASSENTADO COM AR GAMASSA PRE FABRICADA E REJUNTE DA QUARTZOLIT OU SIMILAR (ESPESSURA DA JUNTA DE 6MM) SOBRE EMBOCO PRONTO.</t>
  </si>
  <si>
    <t>Piso</t>
  </si>
  <si>
    <t>LASTRO DE CONCRETO TRACO 1:4:8, ESPESSURA 5CM, PREPARO MECANICO</t>
  </si>
  <si>
    <t>73920/003 SINAPI RECIFE 10/2013</t>
  </si>
  <si>
    <t>REGULARIZACAO DE PISO/BASE EM ARGAMASSA TRACO 1:4 (CIMENTO E AREIA), ESPESSURA 3,0CM, PREPARO MANUAL</t>
  </si>
  <si>
    <t>73946/001 SINAPI RECIFE 10/2013</t>
  </si>
  <si>
    <t>PISO EM CERAMICA ESMALTADA LINHA POPULAR PEI-4, ASSENTADA COM ARGAMASS</t>
  </si>
  <si>
    <t>Composição - 16</t>
  </si>
  <si>
    <t>TESTEIRA EM GRANILITE, MARMORITE OU GRANITINA ESPESSURA 8 MM, INCLUSO JUNTAS DE DILATACAO PLASTICAS, ALTURA DE 10 CM.</t>
  </si>
  <si>
    <t>84191 SINAPI RECIFE 10/2013</t>
  </si>
  <si>
    <t>PISO EM GRANILITE, MARMORITE OU GRANITINA ESPESSURA 8 MM, INCLUSO JUNTAS DE DILATACAO PLASTICAS</t>
  </si>
  <si>
    <t>Pintura</t>
  </si>
  <si>
    <t>6082 SINAPI RECIFE 10/2013</t>
  </si>
  <si>
    <t>PINTURA EM VERNIZ SINTETICO BRILHANTE EM MADEIRA, TRES DEMAOS</t>
  </si>
  <si>
    <t>73999/001 SINAPI RECIFE 10/2013</t>
  </si>
  <si>
    <t>PINTURA COM CAL, EM PAREDES INTERNAS, TRES DEMAOS, INCLUSO OLEO DE LINHACA</t>
  </si>
  <si>
    <t>73955/002 SINAPI RECIFE 10/2013</t>
  </si>
  <si>
    <t>EMASSAMENTO COM MASSA LATEX PVA PARA AMBIENTES INTERNOS, DUAS DEMAOS</t>
  </si>
  <si>
    <t xml:space="preserve">73750/001 SINAPI RECIFE 10/2013 </t>
  </si>
  <si>
    <t>PINTURA LATEX PVA AMBIENTES INTERNOS, DUAS DEMAOS</t>
  </si>
  <si>
    <t>74134/002 SINAPI RECIFE 10/2013</t>
  </si>
  <si>
    <t>EMASSAMENTO COM MASSA ACRILICA PARA AMBIENTES INTERNOS/EXTERNOS, DUAS DEMAOS</t>
  </si>
  <si>
    <t>73954/002 SINAPI RECIFE 10/2013</t>
  </si>
  <si>
    <t>PINTURA LATEX ACRILICA AMBIENTES INTERNOS/EXTERNOS, DUAS DEMAOS</t>
  </si>
  <si>
    <t>74065/001 SINAPI RECIFE 10/2013</t>
  </si>
  <si>
    <t>PINTURA ESMALTE PARA MADEIRA, DUAS DEMAOS, INCLUSO APARELHAMENTO COM FUNDO NIVELADOR BRANCO FOSCO</t>
  </si>
  <si>
    <t>73739/001 SINAPI RECIFE 10/2013</t>
  </si>
  <si>
    <t>PINTURA ESMALTE EM MADEIRA, DUAS DEMAOS</t>
  </si>
  <si>
    <t>73924/002 SINAPI RECIFE 10/2013</t>
  </si>
  <si>
    <t>PINTURA ESMALTE , DUAS DEMAOS, PARA FERRO</t>
  </si>
  <si>
    <t>74145/001 SINAPI RECIFE 10/2013</t>
  </si>
  <si>
    <t>PINTURA ESMALTE FOSCO, DUAS DEMAOS, SOBRE SUPERFICIE METALICA, INCLUSO UMA DEMAO DE FUNDO ANTICORROSIVO</t>
  </si>
  <si>
    <t>Instalações elétricas</t>
  </si>
  <si>
    <t>18.22.010 EMLURB RECIFE 10/2013</t>
  </si>
  <si>
    <t>PONTO DE LUZ EM TETO OU PAREDE, INCLUINDO CAI XA 4 X 4 POL. TIGREFLEX OU SIMILAR, TUBULACAO PVC RIGIDO E FIACAO, ATE O QUADRO DE DISTRIBUICAO.</t>
  </si>
  <si>
    <t>18.22.050 EMLURB RECIFE 10/2013</t>
  </si>
  <si>
    <t>PONTO DE INTERRUPTOR THREE-WAY, PIAL OU SIMILAR, INCLUSIVE TUBULACAO PVC RIGIDO, FIACAO, CAIXA 4 X 2 POL. TIGREFLEX OU SIMILAR, PLACA E DEMAIS ACESSORIOS, ATE O PONTO DE LUZ.</t>
  </si>
  <si>
    <t>18.22.020 EMLURB RECIFE 10/2013</t>
  </si>
  <si>
    <t>PONTO DE INTERRUPTOR DE UMA SECCAO, PIAL OU SIMILAR,INCLUSIVE TUBULACAO PVC RIGIDO, FIACAO, CX. 4 X 2 POL. TIGREFLEX OU SIMILAR PLACA E DEMAIS ACESSORIOS, ATE O PONTO DE LUZ.</t>
  </si>
  <si>
    <t>18.22.030 EMLURB RECIFE 10/2013</t>
  </si>
  <si>
    <t>PONTO DE INTERRUPTOR DE 2 SECCOES, PIAL OU SI MILAR, INCLUSIVE TUBULACAO PVC RIGIDO, FIACAO CAIXA 4 X 2 POL. TIGREFLEX OU SIMILAR, PLACA E DEMAIS ACESSORIOS, ATE O PONTO DE LUZ.</t>
  </si>
  <si>
    <t>18.22.040 EMLURB RECIFE 10/2013</t>
  </si>
  <si>
    <t>PONTO DE INTERRUPTOR DE 3 SECCOES, PIAL OU SIMILAR, INCLUSIVE TUBULACAO PVC RIGIDO, FIACAO CAIXA 4 X 2 POL. TIGREFLEX OU SIMILAR, PLACA E DEMAIS ACESSORIOS, ATE O PONTO DE LUZ.</t>
  </si>
  <si>
    <t>18.22.055 EMLURB RECIFE 10/2013</t>
  </si>
  <si>
    <t>PONTO DE TOMADA UNIV.(2P+1 T) 10A PIAL OU SIMILAR INCLUSIVE TUBULACAO PVC RIGIDO, FIACAO, CAIXA 4 X 2 POL. TIGREFLEX OU SIMILAR, PLACA E DEMAIS ACESSORIOS, ATE O PONTO DE LUZ OU QUADRO DE DISTRIBUICAO.</t>
  </si>
  <si>
    <t>18.22.060 EMLURB RECIFE 10/2013</t>
  </si>
  <si>
    <t>PONTO DE TOMADA UNIV.(2P+1 T) 20A PIAL OU SIMILAR INCLUSIVE TUBULACAO PVC RIGIDO, FIACAO, CAIXA 4 X 2 POL. TIGREFLEX OU SIMILAR, PLACA E DEMAIS ACESSORIOS, ATE O PONTO DE LUZ OU QUADRO DE DISTRIBUICAO.</t>
  </si>
  <si>
    <t>18.22.070 EMLURB RECIFE 10/2013</t>
  </si>
  <si>
    <t>PONTO DE TOMADA UNIVERSAL (2P+1 T),PIAL OU SIMILAR P/ 2000 W INCLUSIVE TUBULACAO PVC RIGIDO, FIACAO, CAIXA 4 X 2 POL.TIGREFLEX OU SIMILAR, PLACA E DEMAIS ACESSORIOS ATE O QUADRO DE DISTRIBUICAO.</t>
  </si>
  <si>
    <t>18.22.080 EMLURB RECIFE 10/2013</t>
  </si>
  <si>
    <t>PONTO DE TOMADA P/AR CONDICIONADO C/CONJ. TIPO ARSTOP OU SIMILAR,EM CAIXA TIGREFLEX OU SI MILAR 4 X 4 POL.,C/PLACA, TOMADA TRIP. P/PINO CHATO E DISJ. TERMOMAG. DE 25A, INCLUSIVE TUBULACAO PVC RIGIDO, FIACAO, ATERRAMENTO E DEMAIS ACESS. ATE O QUADRO DE DISTRIBUICAO.</t>
  </si>
  <si>
    <t>18.22.090 EMLURB RECIFE 10/2013</t>
  </si>
  <si>
    <t>PONTO DE TOMADA PARA TELEFONE, PIAL OU SIMIMILAR, EM CAIXA TIGREFLEX OU SIMILAR DE 4 X 2 POL., INCLUSIVE PLACA, TUBULACAO EM PVC RIGIDO, FIACAO, CAIXAS DE PASSAGEM E DEMAIS ACESSORIOS, ATE A CAIXA DE DISTRIBUICAO DO PAVIMENTO.</t>
  </si>
  <si>
    <t>68069  SINAPI RECIFE 10/2013</t>
  </si>
  <si>
    <t>HASTE COPPERWELD 5/8 X 3,0M COM CONECTOR</t>
  </si>
  <si>
    <t>74131/001  SINAPI RECIFE 10/2013</t>
  </si>
  <si>
    <t>QUADRO DE DISTRIBUICAO DE ENERGIA EM CHAPA METALICA, PARA 3 DISJUNTORES TERMOMAGNETICOS MONOPOLARES, SEM DISPOSITIVO PARA CHAVE GERAL, COM PORTA, SEM BARRAMENTOS FASES E COM BARRAMENTO NEUTRO, FORNECIMENTO E INSTALACAO</t>
  </si>
  <si>
    <t>74131/004  SINAPI RECIFE 10/2013</t>
  </si>
  <si>
    <t>QUADRO DE DISTRIBUICAO DE ENERGIA DE EMBUTIR, EM CHAPA METALICA, PARA 18 DISJUNTORES TERMOMAGNETICOS MONOPOLARES, COM BARRAMENTO TRIFASICO E NEUTRO, FORNECIMENTO E INSTALACAO</t>
  </si>
  <si>
    <t>74131/005  SINAPI RECIFE 10/2013</t>
  </si>
  <si>
    <t>QUADRO DE DISTRIBUICAO DE ENERGIA DE EMBUTIR, EM CHAPA METALICA, PARA 24 DISJUNTORES TERMOMAGNETICOS MONOPOLARES, COM BARRAMENTO TRIFASICO E NEUTRO, FORNECIMENTO E INSTALACAO</t>
  </si>
  <si>
    <t>74130/001  SINAPI RECIFE 10/2013</t>
  </si>
  <si>
    <t>DISJUNTOR TERMOMAGNETICO MONOPOLAR PADRAO NEMA (AMERICANO) 10 A 30A 240V, FORNECIMENTO E INSTALACAO</t>
  </si>
  <si>
    <t>73953/001  SINAPI RECIFE 10/2013</t>
  </si>
  <si>
    <t>LUMINARIA TIPO CALHA, DE SOBREPOR, COM REATOR DE PARTIDA RAPIDA E LAMPADA FLUORESCENTE 1X20W, COMPLETA, FORNECIMENTO E INSTALACAO</t>
  </si>
  <si>
    <t>Cj</t>
  </si>
  <si>
    <t>73953/005  SINAPI RECIFE 10/2013</t>
  </si>
  <si>
    <t>LUMINARIA TIPO CALHA, DE SOBREPOR, COM REATOR DE PARTIDA RAPIDA E LAMPADA FLUORESCENTE 1X40W, COMPLETA, FORNECIMENTO E INSTALACAO</t>
  </si>
  <si>
    <t>73953/006  SINAPI RECIFE 10/2013</t>
  </si>
  <si>
    <t>LUMINARIA TIPO CALHA, DE SOBREPOR, COM REATOR DE PARTIDA RAPIDA E LAMPADA FLUORESCENTE 2X40W, COMPLETA, FORNECIMENTO E INSTALACAO</t>
  </si>
  <si>
    <t>74094/001  SINAPI RECIFE 10/2013</t>
  </si>
  <si>
    <t>LUMINARIA TIPO SPOT PARA 1 LAMPADA INCANDESCENTE/FLUORESCENTE COMPACTA</t>
  </si>
  <si>
    <t>9540  SINAPI RECIFE 10/2013</t>
  </si>
  <si>
    <t>ENTRADA DE ENERGIA ELETRICA AEREA MONOFASICA 50A</t>
  </si>
  <si>
    <t>Composição - 14</t>
  </si>
  <si>
    <t>ENTRADA DE ENERGIA ELETRICA AEREA TRIFASICA</t>
  </si>
  <si>
    <t>RECUPERAÇÃO DE PONTO DE LUZ, INCLUSIVE SUBSTITUIÇÃO DE PEÇAS NECESSÁRIAS.</t>
  </si>
  <si>
    <t>RECUPERAÇÃO DE PONTO DE INTERRUPTOR, INCLUSIVE SUBSTITUIÇÃO DE PEÇAS.</t>
  </si>
  <si>
    <t>RECUPERAÇÃO DE PONTO DE TOMADA, INCLUSIVE SUBSTITUIÇÃO DE PEÇAS.</t>
  </si>
  <si>
    <t>18.22.100 EMLURB RECIFE 10/2013</t>
  </si>
  <si>
    <t>PONTO DE CAMPAINHA, INCLUSIVE CAIXA, CIGARRA, BOTAO, ESPELHO, TUBULACAO PVC RIGIDO, FIACAO E DEMAIS ACESSORIOS, ATE QUADRO DE DISTRIBUICAO.</t>
  </si>
  <si>
    <t>73613  SINAPI RECIFE 10/2013</t>
  </si>
  <si>
    <t>ELETRODUTO DE PVC RIGIDO ROSCAVEL DN 20MM (3/4") INCL CONEXOES, FORNECIMENTO E INSTALACAO</t>
  </si>
  <si>
    <t>74252/001  SINAPI RECIFE 10/2013</t>
  </si>
  <si>
    <t>ELETRODUTO DE PVC RIGIDO ROSCAVEL DN 25MM (1") INCL CONEXOES, FORNECIMENTO E INSTALACAO</t>
  </si>
  <si>
    <t>73860/008  SINAPI RECIFE 10/2013</t>
  </si>
  <si>
    <t>CABO DE COBRE ISOLADO PVC 450/750V 2,5MM2 RESISTENTE A CHAMA - FORNECIMENTO E INSTALACAO</t>
  </si>
  <si>
    <t>73860/011  SINAPI RECIFE 10/2013</t>
  </si>
  <si>
    <t>CABO DE COBRE ISOLADO PVC 450/750V 10MM2 RESISTENTE A CHAMA - FORNECIMENTO E INSTALACAO</t>
  </si>
  <si>
    <t>74130/004  SINAPI RECIFE 10/2013</t>
  </si>
  <si>
    <t>DISJUNTOR TERMOMAGNETICO TRIPOLAR 10 A 50A 240 V, FORNECIMENTO E INSTALACAO</t>
  </si>
  <si>
    <t>83446  SINAPI RECIFE 10/2013</t>
  </si>
  <si>
    <t>CAIXA DE PASSAGEM 30X30X40 COM TAMPA E DRENO BRITA</t>
  </si>
  <si>
    <t>83386  SINAPI RECIFE 10/2013</t>
  </si>
  <si>
    <t>CAIXA DE PASSAGEM PVC 4X4" - FORNECIMENTO E INSTALACAO</t>
  </si>
  <si>
    <t>17.08.020 EMLURB RECIFE 10/2013</t>
  </si>
  <si>
    <t>FORNECIMENTO E ASSENTAMENTO DE CAIXA PRÉ-MOLDADA PARA AR CONDICIONADO, CAPACIDADE 10.000/12.000BTU TIPO PADRÃO (ABERTA)</t>
  </si>
  <si>
    <t>10.0</t>
  </si>
  <si>
    <t>Instalações Hidro-sanitárias</t>
  </si>
  <si>
    <t>19.01.030 EMLURB RECIFE 10/2013</t>
  </si>
  <si>
    <t>RECUPERAÇÃO DE PONTO DE ESGOTO PREDIAL - FORNECIMENTO E INSTALACAO</t>
  </si>
  <si>
    <t>19.01.010 EMLURB RECIFE 10/2013</t>
  </si>
  <si>
    <t>PONTO DE ESGOTO PARA BACIA SANITARIA, INCLUSIVE TUBULACOES E CONEXOES EM PVC RIGI DO SOLDAVEIS, ATE A COLUNA OU O SUB-COLE- TOR</t>
  </si>
  <si>
    <t>19.01.020 EMLURB RECIFE 10/2013</t>
  </si>
  <si>
    <t>PONTO DE ESGOTO PARA PIA OU LAVANDARIA, INCLUSIVE TUBULACOES E CONEXOES EM PVC RIGI- DO SOLDAVEIS , ATE A COLUNA OU O SUB-COLE- TOR.</t>
  </si>
  <si>
    <t>PONTO DE ESGOTO PARA LAVATORIO OU MICTORIO, INCLUSIVE TUBULACOES E CONEXOES EM PVC RIGIDO SOLDAVEIS, ATE A COLUNA OU O SUB-COLETOR</t>
  </si>
  <si>
    <t>19.01.040 EMLURB RECIFE 10/2013</t>
  </si>
  <si>
    <t>PONTO DE ESGOTO PARA RALO SIFONADO, INCLUSIVE RALO, TUBULACOES E CONEXOES EM PVC RIGIDO SOLDAVEIS , ATE A COLUNA OU O SUBCOLETOR.</t>
  </si>
  <si>
    <t>19.02.020 EMLURB RECIFE 10/2013</t>
  </si>
  <si>
    <t>RECUPERAÇÃO DE PONTO DE AGUA FRIA PVC - FORNECIMENTO E INSTALACAO</t>
  </si>
  <si>
    <t>PONTO DE AGUA, INCLUSIVE TUBULACOES E CONE XOES DE PVC RIGIDO SOLDAVEL E ABERTURA DE RASGOS EM ALVENARIA , ATE O REGISTRO GERAL DO AMBIENTE.</t>
  </si>
  <si>
    <t>85123 SINAPI RECIFE 10/2013</t>
  </si>
  <si>
    <t>TUBO PVC PONTA/BOLSA C/ VIROLA DN=100MM P/ ESGOTO JUNTA COM ANEL</t>
  </si>
  <si>
    <t>74104/001 SINAPI RECIFE 10/2013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</si>
  <si>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</si>
  <si>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>74101/001 SINAPI RECIFE 10/2013</t>
  </si>
  <si>
    <t>VASO SANITARIO, ASSENTO PLASTICO, CAIXA DE DESCARGA PVC DE SOBREPOR, ENGATE PLASTICO, TUBO DE DESCIDA E BOLSA DE BORRACHA</t>
  </si>
  <si>
    <t>74193/001 SINAPI RECIFE 10/2013</t>
  </si>
  <si>
    <t>VASO SANITARIO COM CAIXA DE DESCARGA ACOPLADA - LOUCA BRANCA</t>
  </si>
  <si>
    <t>74057/001 SINAPI RECIFE 10/2013</t>
  </si>
  <si>
    <t>LAVATORIO LOUCA BRANCA SUSPENSO 29,5 X 39,0CM, PADRAO POPULAR, COM COMJUNTO PARA FIXACAO - FORNECIMENTO E INSTALACAO</t>
  </si>
  <si>
    <t>74234/001 SINAPI RECIFE 10/2013</t>
  </si>
  <si>
    <t>MICTORIO SIFONADO DE LOUCA BRANCA COM PERTENCES, COM REGISTRO DE PRESSAO 1/2" COM CANOPLA CROMADA ACABAMENTO SIMPLES E CONJUNTO PARA FIXACAO - FORNECIMENTO E INSTALACAO</t>
  </si>
  <si>
    <t>19.07.070 EMLURB RECIFE 10/2013</t>
  </si>
  <si>
    <t>FORNECIMENTO E ASSENTAMENTO DE SABONETEIRA DE LOUCA BRANCA,CELITE OU SIMILAR, NAS DIMENSOES 7.5 X 15 CM.</t>
  </si>
  <si>
    <t>19.07.080 EMLURB RECIFE 10/2013</t>
  </si>
  <si>
    <t>FORNECIMENTO E ASSENTAMENTO DE CABIDE DE LOUCA BRANCA, CELITE OU SIMILAR, COM UM GANCHO.</t>
  </si>
  <si>
    <t>19.07.090 EMLURB RECIFE 10/2013</t>
  </si>
  <si>
    <t>FORNECIMENTO E ASSENTAMENTO DE PAPELEIRA DE LOUCA BRANCA, CELITE OU SIMILAR,NAS DIMENSOES 15 X 15 CM.</t>
  </si>
  <si>
    <t>6052 SINAPI RECIFE 10/2013</t>
  </si>
  <si>
    <t>TANQUE DE MARMORE SINTETICO 22 LITROS COM VALVULA EM PLASTICO BRANCO 1.1/4"X1.1/2", SIFAO PLASTICO TIPO COPO 1.1/4" E TORNEIRA DE METAL AMARELO CURTA 1/2" OU 3/4" PARA TANQUE - FORNECIMENTO E INSTALACAO</t>
  </si>
  <si>
    <t>9535 SINAPI RECIFE 10/2013</t>
  </si>
  <si>
    <t>CHUVEIRO ELETRICO COMUM CORPO PLASTICO TIPO DUCHA, FORNECIMENTO E INSTALACAO</t>
  </si>
  <si>
    <t>68061 SINAPI RECIFE 10/2013</t>
  </si>
  <si>
    <t>CHUVEIRO PLASTICO BRANCO SIMPLES - FORNECIMENTO E INSTALACAO</t>
  </si>
  <si>
    <t>6024 SINAPI RECIFE 10/2013</t>
  </si>
  <si>
    <t>CAIXA DE DESCARGA PLASTICA EXTERNA COMPLETA,CAPACIDADE 9L COM TUBO DE DESCARGA, ENGATE FLEXIVEL, BOIA E SUPORTE PARA FIXAÇÃO, BOLSA DE LIGAÇÃO EM PVC FLEXÍVEL E CONJUNTO PARA FIXACAO DE CAIXA DE DESCARGA - FORNECIMENTO E INSTALACAO</t>
  </si>
  <si>
    <t>73949/003 SINAPI RECIFE 10/2013</t>
  </si>
  <si>
    <t>TORNEIRA CROMADA LONGA 1/2" OU 3/4" DE PAREDE PARA PIA DE COZINHA COMAREJADOR, PADRAO MEDIO - FORNECIMENTO E INSTALACAO</t>
  </si>
  <si>
    <t>73949/009 SINAPI RECIFE 10/2013</t>
  </si>
  <si>
    <t>TORNEIRA CROMADA 1/2" OU 3/4" PARA LAVATORIO, PADRÃO POPULAR, COM ENGATE FLEXIVEL PLASTICO 1/2"X30CM - FORNECIMENTO E INSTALACAO</t>
  </si>
  <si>
    <t>73664 SINAPI RECIFE 10/2013</t>
  </si>
  <si>
    <t>REGISTRO DE PRESSÃO COM CANOPLA Ø 15MM (1/2") - FORNECIMENTO E INSTALAÇÃO</t>
  </si>
  <si>
    <t>73949/001 SINAPI RECIFE 10/2013</t>
  </si>
  <si>
    <t>TORNEIRA CROMADA 1/2" OU 3/4" PARA JARDIM OU TANQUE, PADRAO ALTO - FORNECIMENTO E INSTALACAO</t>
  </si>
  <si>
    <t>TANQUE</t>
  </si>
  <si>
    <t>JARDIM</t>
  </si>
  <si>
    <t>72711 SINAPI RECIFE 10/2013</t>
  </si>
  <si>
    <t>REGISTRO GAVETA 1/2" BRUTO LATAO - FORNECIMENTO E INSTALACAO</t>
  </si>
  <si>
    <t>78598/001 SINAPI RECIFE 10/2013</t>
  </si>
  <si>
    <t>RESERVATORIO DE FIBROCIMENTO 500L COM ACESSORIOS</t>
  </si>
  <si>
    <t>73735/001 SINAPI RECIFE 10/2013</t>
  </si>
  <si>
    <t>RESERV. DE FIBROC. CAP=1000L C/ACESSORIOS</t>
  </si>
  <si>
    <t>74126/001 SINAPI RECIFE 10/2013</t>
  </si>
  <si>
    <t>GRANITO CINZA POLIDO PARA BANCADA E=2,5 CM, LARGURA 60CM - FORNECIMENTO E INSTALACAO</t>
  </si>
  <si>
    <t>1,5X0,6=0,9</t>
  </si>
  <si>
    <t>74129/001 SINAPI RECIFE 10/2013</t>
  </si>
  <si>
    <t>CUBA DE ACO INOXIDAVEL 46,5X30,0X11,5CM - FORNECIMENTO E INSTALACAO</t>
  </si>
  <si>
    <t>85097 SINAPI RECIFE 10/2013</t>
  </si>
  <si>
    <t>CUBA DE EMBUTIR, EM LOUCA, TIPO OVAL BRANCA, SEM COMPLEMENTOS, PADRAO MEDIO</t>
  </si>
  <si>
    <t>74058/002 SINAPI RECIFE 10/2013</t>
  </si>
  <si>
    <t>TORNEIRA DE BOIA VAZAO TOTAL 3/4 COM BALAO PLASTICO - FORNECIMENTO E INSTALACAO.</t>
  </si>
  <si>
    <t>19.07.520 EMLURB RECIFE 10/2013</t>
  </si>
  <si>
    <t>FORNECIMENTO DE BOMBA 1/3 HP, INCLUSIVE ACESSORIOS,
FIXACAO E INSTALACAO.</t>
  </si>
  <si>
    <t>74092/001 SINAPI RECIFE 10/2013</t>
  </si>
  <si>
    <t>AUTOMATICO DE BOIA SUPERIOR 10A/250V - FORNECIMENTO E INSTALACAO</t>
  </si>
  <si>
    <t>74051/001 SINAPI RECIFE 10/2013</t>
  </si>
  <si>
    <t>CAIXA DE GORDURA DUPLA EM CONCRETO PRE-MOLDADO DN 60MM COM TAMPA - FORNECIMENTO E INSTALACAO</t>
  </si>
  <si>
    <t>C1898 SEINFRA 09/2013</t>
  </si>
  <si>
    <t>PEÇAS DE APOIO DEFICIENTES C/TUBO INOX P/WC'S</t>
  </si>
  <si>
    <t>Composição - 05</t>
  </si>
  <si>
    <t>CONSTRUÇÃO DE RESERVATÓRIO D'ÁGUA ENTERRADO, CAPACIDADE DE 7000 L, DIMENSÕES INTERNAS 2,50X2,00X1,40 M, LAJE DE FUNDO EM CONCRETO ARMADO E= 15 CM, TAMPA EM LAJE PRÉ-MOLDADA, COM DOIS CINTAMENTOS EM CONCRETO ARMADO 20X20 CM, INCLUSIVE REVESTIMENTO COM ARGAMASSA DE CIMENTO E AREIA</t>
  </si>
  <si>
    <t>Composição - 10</t>
  </si>
  <si>
    <t>CONSTRUÇÃO DE CASA DE BOMBA, 70X70X70 CM, EM ALVENARIA REVESTIDA COM ARGAMASSA DE CIMENTO E AREIA, COBERTA COM LAJE DE CONCRETO ARMADO E PORTÃO DE FERRO</t>
  </si>
  <si>
    <t>74197/001 SINAPI RECIFE 10/2013</t>
  </si>
  <si>
    <t>FOSSA SEPTICA EM ALVENARIA DE TIJOLO CERAMICO MACICO DIMENSOES EXTERNAS 1,90X1,10X1,40M, 1.500 LITROS, REVESTIDA INTERNAMENTE COM BARRA LISA, COM TAMPA EM CONCRETO ARMADO COM ESPESSURA 8CM</t>
  </si>
  <si>
    <t>74198/002 SINAPI RECIFE 10/2013</t>
  </si>
  <si>
    <t>SUMIDOURO EM ALVENARIA DE TIJOLO CERAMICO MACIÇO DIAMETRO 1,40M E ALTURA 5,00M, COM TAMPA EM CONCRETO ARMADO DIAMETRO 1,60M E ESPESSURA 10CM</t>
  </si>
  <si>
    <t>74230/001 SINAPI RECIFE 10/2013</t>
  </si>
  <si>
    <t>ASSENTO PARA VASO SANITARIO DE PLASTICO PADRAO POPULAR - FORNECIMENTO E INSTALACAO</t>
  </si>
  <si>
    <t>11.0</t>
  </si>
  <si>
    <t>Diversos</t>
  </si>
  <si>
    <t>9537 SINAPI RECIFE 10/2013</t>
  </si>
  <si>
    <t>LIMPEZA FINAL DA OBRA</t>
  </si>
  <si>
    <t>73948/015 SINAPI RECIFE 10/2013</t>
  </si>
  <si>
    <t>LIMPEZA PISO MARMORITE/GRANILITE</t>
  </si>
  <si>
    <t>73631 SINAPI RECIFE 10/2013</t>
  </si>
  <si>
    <t>GUARDA-CORPO EM TUBO DE ACO GALVANIZADO 1 1/2"</t>
  </si>
  <si>
    <t>73764/004 SINAPI RECIFE 10/2013</t>
  </si>
  <si>
    <t>PAVIMENTACAO EM BLOCOS DE CONCRETO SEXTAVADO, ESPESSURA 6,0 CM, FCK 35 MPA, ASSENTADOS SOBRE COLCHAO DE AREIA.</t>
  </si>
  <si>
    <t>Composição - 13</t>
  </si>
  <si>
    <t>MURO COM EMBASAMENTO DE 50 CM E ALTURA DA ALVENARIA DE ELEVAÇÃO DE 1,8 M, COM  COLUNAS ESPAÇADAS DE 3 EM 3 METROS, INCLUSIVE CHAPISCO, MASSA ÚNICA E CAIAÇÃO E AINDA ESCAVAÇÃO REATERRO, REMOÇÃO  DO MATERIAL ESCAVADO E CONCRETO MAGRO.</t>
  </si>
  <si>
    <t>Composição - 1</t>
  </si>
  <si>
    <t>FORNECIMENTO E APLICAÇÃO DE SUPORTE PARA CARNES, EM FERRO GALVANIZADO DE 1 1/4</t>
  </si>
  <si>
    <t>TOTAL R$</t>
  </si>
  <si>
    <t>MEMÓRIA DE CÁLCULO</t>
  </si>
  <si>
    <t>SERVIÇOS PRELIMINARES:</t>
  </si>
  <si>
    <t>Local do Serviço</t>
  </si>
  <si>
    <t>Comp.</t>
  </si>
  <si>
    <t>Larg.</t>
  </si>
  <si>
    <t>altura / *</t>
  </si>
  <si>
    <t>Total</t>
  </si>
  <si>
    <t>=</t>
  </si>
  <si>
    <t>Área m²</t>
  </si>
  <si>
    <t xml:space="preserve">área total </t>
  </si>
  <si>
    <t>pista de cooper</t>
  </si>
  <si>
    <t>área de equipamentos academia</t>
  </si>
  <si>
    <t>calçada frontal</t>
  </si>
  <si>
    <t>Lados</t>
  </si>
  <si>
    <t>demolição meio fio pista de cooper</t>
  </si>
  <si>
    <t>muro frontal</t>
  </si>
  <si>
    <t>pilares</t>
  </si>
  <si>
    <t>postes</t>
  </si>
  <si>
    <t>grade frontal</t>
  </si>
  <si>
    <t>grade lateral</t>
  </si>
  <si>
    <t>drenagem frontal</t>
  </si>
  <si>
    <t>arquibancada anfteatro</t>
  </si>
  <si>
    <t>banco tipo 1</t>
  </si>
  <si>
    <t>banco tipo 2</t>
  </si>
  <si>
    <t>banco tipo 3</t>
  </si>
  <si>
    <t>radier</t>
  </si>
  <si>
    <t>elevação</t>
  </si>
  <si>
    <t>reparos</t>
  </si>
  <si>
    <t>intertravado cinza</t>
  </si>
  <si>
    <t>intertravado amarelo</t>
  </si>
  <si>
    <t>intertravado vermelho</t>
  </si>
  <si>
    <t>piso em concreto pista de cooper</t>
  </si>
  <si>
    <t>quadra</t>
  </si>
  <si>
    <t>edificações</t>
  </si>
  <si>
    <t xml:space="preserve">muro </t>
  </si>
  <si>
    <t>mureta frontal</t>
  </si>
  <si>
    <t>Demão</t>
  </si>
  <si>
    <t>estrutura da quadra</t>
  </si>
  <si>
    <t>pintura e telhamento</t>
  </si>
  <si>
    <t>gradil frontal</t>
  </si>
  <si>
    <t>rede iluminação externa</t>
  </si>
  <si>
    <t>postes altos a definir</t>
  </si>
  <si>
    <t>postes pista de cooper 1 a cada 7 metros</t>
  </si>
  <si>
    <t>vigotas</t>
  </si>
  <si>
    <t>vigas</t>
  </si>
  <si>
    <t>banco tipo 1 assento</t>
  </si>
  <si>
    <t>banco tipo 2 assento</t>
  </si>
  <si>
    <t>banco tipo 3 assento</t>
  </si>
  <si>
    <t>portico de entrada</t>
  </si>
  <si>
    <t xml:space="preserve">CRONOGRAMA FÍSICO-FINANCEIRO </t>
  </si>
  <si>
    <t xml:space="preserve">OBRA: </t>
  </si>
  <si>
    <t>SERVIÇOS</t>
  </si>
  <si>
    <t>30 DIAS</t>
  </si>
  <si>
    <t>60 DIAS</t>
  </si>
  <si>
    <t>90 DIAS</t>
  </si>
  <si>
    <t>120 DIAS</t>
  </si>
  <si>
    <t>150 DIAS</t>
  </si>
  <si>
    <t>180 DIAS</t>
  </si>
  <si>
    <t>TOTAL</t>
  </si>
  <si>
    <t>SERVIÇOS PRELIMINARES</t>
  </si>
  <si>
    <t>R$</t>
  </si>
  <si>
    <t>%</t>
  </si>
  <si>
    <t>COMPOSIÇÃO DE BDI (BONIFICAÇÃO E DESPESAS INDIRETAS)</t>
  </si>
  <si>
    <t>DISCRIMINAÇÃO</t>
  </si>
  <si>
    <t>ADMINISTRAÇÃO CENTRAL (AC)</t>
  </si>
  <si>
    <t>SEGURO E GARANTIA (SG)</t>
  </si>
  <si>
    <t xml:space="preserve">RISCO (R) </t>
  </si>
  <si>
    <t>DESPESAS FINANCEIRA (DF)</t>
  </si>
  <si>
    <t>LUCRO (L)</t>
  </si>
  <si>
    <t>TRIBUTOS (T)</t>
  </si>
  <si>
    <t>PIS</t>
  </si>
  <si>
    <t>COFINS</t>
  </si>
  <si>
    <t>ISS</t>
  </si>
  <si>
    <t>CPRB</t>
  </si>
  <si>
    <t>BDI = [[{(1+(AC/100 +R/100+SG/100+))*(1+DF/100)*(1+L/100)}/(1-T/100)]-1]*100</t>
  </si>
  <si>
    <t xml:space="preserve">Cód. </t>
  </si>
  <si>
    <t>Unidade:</t>
  </si>
  <si>
    <t>M²</t>
  </si>
  <si>
    <t>Descrição:</t>
  </si>
  <si>
    <t>Codigo</t>
  </si>
  <si>
    <t>Referencia</t>
  </si>
  <si>
    <t>Desc. do Insumo</t>
  </si>
  <si>
    <t>Unid</t>
  </si>
  <si>
    <t>P. Unit (R$)</t>
  </si>
  <si>
    <t>P. Total (R$)</t>
  </si>
  <si>
    <t>MÃO DE OBRA</t>
  </si>
  <si>
    <t>SINAPI/ REFERENCIAL</t>
  </si>
  <si>
    <t>PEDREIRO COM ENCARGOS COMPLEMENTARES</t>
  </si>
  <si>
    <t>H</t>
  </si>
  <si>
    <t>SERVENTE COM ENCARGOS COMPLEMENTARES</t>
  </si>
  <si>
    <t>Sub total MO ( com os Encargos Sociais ):</t>
  </si>
  <si>
    <t>INSUMOS</t>
  </si>
  <si>
    <t>SINAPI/ INSUMOS</t>
  </si>
  <si>
    <t>BLOCO CERAMICO (ALVENARIA DE VEDACAO), 8 FUROS, DE 9 X 19 X 19 CM</t>
  </si>
  <si>
    <t>UN</t>
  </si>
  <si>
    <t>Sub total MATERIAIS:</t>
  </si>
  <si>
    <t>ARGAMASSA TRAÇO 1:2:8 (CIMENTO, CAL E AREIA MÉDIA) PARA EMBOÇO/MASSA ÚNICA/ASSENTAMENTO DE ALVENARIA DE VEDAÇÃO, PREPARO MECÂNICO COM BETONEIRA 400 L. AF_06/2014</t>
  </si>
  <si>
    <t>M3</t>
  </si>
  <si>
    <t>Sub total SERVIÇOS:</t>
  </si>
  <si>
    <t>*REF 73935/002 SINAPI 04/2016</t>
  </si>
  <si>
    <t>Total ( MO + MAT + SER):</t>
  </si>
  <si>
    <t>BDI (24,00%):</t>
  </si>
  <si>
    <t>PREÇO UNITÁRIO TOTAL:</t>
  </si>
  <si>
    <t>PARE</t>
  </si>
  <si>
    <t>73935/2</t>
  </si>
  <si>
    <t>M2</t>
  </si>
  <si>
    <t/>
  </si>
  <si>
    <t>COMPOSICAO</t>
  </si>
  <si>
    <t>87373</t>
  </si>
  <si>
    <t>ARGAMASSA TRAÇO 1:4 (CIMENTO E AREIA MÉDIA) PARA CONTRAPISO, PREPARO MANUAL. AF_06/2014</t>
  </si>
  <si>
    <t>88309</t>
  </si>
  <si>
    <t>88316</t>
  </si>
  <si>
    <t>INSUMO</t>
  </si>
  <si>
    <t>7271</t>
  </si>
  <si>
    <t>COMP-02</t>
  </si>
  <si>
    <t>UD</t>
  </si>
  <si>
    <t>MATERIAIS</t>
  </si>
  <si>
    <t>SINAPI / INSUMOS</t>
  </si>
  <si>
    <t>CHAVE BLINDADA TRIPOLAR PARA MOTORES, DO TIPO FACA, COM PORTA FUSIVEL DO TIPO CARTUCHO, CORRENTE NOMINAL DE 30 A, TENSAO NOMINAL DE 250 V</t>
  </si>
  <si>
    <t>74131/001</t>
  </si>
  <si>
    <t>SINAPI / REFERENCIAL</t>
  </si>
  <si>
    <t>QUADRO DE DISTRIBUICAO DE ENERGIA DE EMBUTIR, EM CHAPA METALICA, PARA 3 DISJUNTORES TERMOMAGNETICOS MONOPOLARES SEM BARRAMENTO FORNECIMENTO E INSTALACAO</t>
  </si>
  <si>
    <t>COMP-03</t>
  </si>
  <si>
    <t>TUBO ACO GALVANIZADO COM COSTURA, CLASSE LEVE, DN 40 MM ( 1 1/2"), E = 3,00 MM, *3,48* KG/M (NBR 5580)</t>
  </si>
  <si>
    <t>M</t>
  </si>
  <si>
    <t>LUMINARIA DE LED PARA ILUMINACAO PUBLICA, DE 98 W ATE 137 W, INVOLUCRO EM ALUMINIO OU ACO INOX</t>
  </si>
  <si>
    <t>CHUMBADOR DE ACO, 1" X 600 MM, PARA POSTES DE ACO COM BASE, INCLUSO PORCA E ARRUELA</t>
  </si>
  <si>
    <t xml:space="preserve">QUADRO DE PESQUISA DE MERCADO </t>
  </si>
  <si>
    <t>ADMINISTRAÇÃO MENSALISTA ONERADO</t>
  </si>
  <si>
    <t>Calculo do Custo Encarregado</t>
  </si>
  <si>
    <t>Enc Social Horista</t>
  </si>
  <si>
    <t>Valor da Hora</t>
  </si>
  <si>
    <t>Enc Social Mensalista</t>
  </si>
  <si>
    <t>90776</t>
  </si>
  <si>
    <t>ENCARREGADO GERAL COM ENCARGOS COMPLEMENTARES</t>
  </si>
  <si>
    <t>COEFICIENTE</t>
  </si>
  <si>
    <t>CUSTO/ UNITÁRIO</t>
  </si>
  <si>
    <r>
      <t xml:space="preserve">S/ ENCARGOS SOCIAIS HORA = </t>
    </r>
    <r>
      <rPr>
        <b/>
        <sz val="8"/>
        <color rgb="FFFF0000"/>
        <rFont val="Arial"/>
        <family val="2"/>
      </rPr>
      <t>119,38 %</t>
    </r>
  </si>
  <si>
    <r>
      <t xml:space="preserve">C/ EMCARGOS SOCIAIS MÊS =    </t>
    </r>
    <r>
      <rPr>
        <b/>
        <sz val="8"/>
        <color rgb="FFFF0000"/>
        <rFont val="Arial"/>
        <family val="2"/>
      </rPr>
      <t>73,70 %</t>
    </r>
  </si>
  <si>
    <t>EPI (ENCARGOS COMPLEMENTARES)</t>
  </si>
  <si>
    <t>ENCARREGADO GERAL DE OBRAS</t>
  </si>
  <si>
    <t>ALIMENTACAO (ENCARGOS COMPLEMENTARES) *COLETADO CAIXA*</t>
  </si>
  <si>
    <t>TRANSPORTE (ENCARGOS COMPLEMENTARES) *COLETADO CAIXA*</t>
  </si>
  <si>
    <t>EXAMES (ENCARGOS COMPLEMENTARES) *COLETADO CAIXA*</t>
  </si>
  <si>
    <t>SEGURO (ENCARGOS COMPLEMENTARES) *COLETADO CAIXA*</t>
  </si>
  <si>
    <t>Calculo do Custo Engenheiro civil de obra Junior</t>
  </si>
  <si>
    <r>
      <t xml:space="preserve">S/ ENCARGOS SOCIAIS HORA = </t>
    </r>
    <r>
      <rPr>
        <b/>
        <sz val="8"/>
        <color rgb="FFFF0000"/>
        <rFont val="Arial"/>
        <family val="2"/>
      </rPr>
      <t>89,75 %</t>
    </r>
  </si>
  <si>
    <r>
      <t xml:space="preserve">C/ EMCARGOS SOCIAIS MÊS = </t>
    </r>
    <r>
      <rPr>
        <b/>
        <sz val="8"/>
        <color rgb="FFFF0000"/>
        <rFont val="Arial"/>
        <family val="2"/>
      </rPr>
      <t>50,08%</t>
    </r>
  </si>
  <si>
    <t>ENGENHEIRO CIVIL DE OBRA 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</si>
</sst>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0000"/>
    <numFmt numFmtId="166" formatCode="_(&quot;R$ &quot;* #,##0.00_);_(&quot;R$ &quot;* \(#,##0.00\);_(&quot;R$ &quot;* &quot;-&quot;??_);_(@_)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1"/>
      <color rgb="FF000000"/>
      <name val="Calibri"/>
      <family val="2"/>
      <charset val="204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12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sz val="12"/>
      <name val="Arial"/>
      <family val="2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55">
    <xf numFmtId="0" fontId="0" fillId="0" borderId="0"/>
    <xf numFmtId="164" fontId="11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6" fillId="0" borderId="0"/>
    <xf numFmtId="9" fontId="25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8" fillId="0" borderId="0"/>
    <xf numFmtId="0" fontId="5" fillId="0" borderId="0"/>
    <xf numFmtId="164" fontId="38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1" fillId="0" borderId="0"/>
    <xf numFmtId="164" fontId="11" fillId="0" borderId="0" applyFont="0" applyFill="0" applyBorder="0" applyAlignment="0" applyProtection="0"/>
    <xf numFmtId="0" fontId="41" fillId="0" borderId="0"/>
    <xf numFmtId="0" fontId="11" fillId="0" borderId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</cellStyleXfs>
  <cellXfs count="391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164" fontId="11" fillId="0" borderId="0" xfId="1" applyFont="1" applyBorder="1" applyAlignment="1">
      <alignment horizontal="right"/>
    </xf>
    <xf numFmtId="0" fontId="0" fillId="0" borderId="0" xfId="0" applyAlignment="1">
      <alignment horizontal="center"/>
    </xf>
    <xf numFmtId="164" fontId="11" fillId="0" borderId="0" xfId="1" applyBorder="1" applyAlignment="1">
      <alignment horizontal="right"/>
    </xf>
    <xf numFmtId="0" fontId="1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justify"/>
    </xf>
    <xf numFmtId="0" fontId="12" fillId="2" borderId="1" xfId="0" applyFont="1" applyFill="1" applyBorder="1" applyAlignment="1">
      <alignment horizontal="center"/>
    </xf>
    <xf numFmtId="164" fontId="12" fillId="2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justify" vertical="justify"/>
    </xf>
    <xf numFmtId="0" fontId="0" fillId="0" borderId="1" xfId="0" applyBorder="1" applyAlignment="1">
      <alignment horizontal="center"/>
    </xf>
    <xf numFmtId="164" fontId="11" fillId="0" borderId="1" xfId="1" applyBorder="1" applyAlignment="1">
      <alignment horizontal="right"/>
    </xf>
    <xf numFmtId="164" fontId="11" fillId="0" borderId="2" xfId="1" applyBorder="1" applyAlignment="1">
      <alignment horizontal="right"/>
    </xf>
    <xf numFmtId="0" fontId="0" fillId="0" borderId="1" xfId="0" applyBorder="1" applyAlignment="1">
      <alignment horizontal="justify" vertical="top"/>
    </xf>
    <xf numFmtId="39" fontId="11" fillId="0" borderId="2" xfId="1" applyNumberFormat="1" applyBorder="1" applyAlignment="1">
      <alignment horizontal="right"/>
    </xf>
    <xf numFmtId="0" fontId="0" fillId="0" borderId="1" xfId="0" applyBorder="1" applyAlignment="1">
      <alignment horizontal="center" vertical="top"/>
    </xf>
    <xf numFmtId="0" fontId="12" fillId="0" borderId="1" xfId="0" applyFont="1" applyBorder="1" applyAlignment="1">
      <alignment horizontal="left" vertical="justify"/>
    </xf>
    <xf numFmtId="0" fontId="12" fillId="0" borderId="1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164" fontId="12" fillId="0" borderId="2" xfId="1" applyFont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justify" vertical="justify"/>
    </xf>
    <xf numFmtId="0" fontId="0" fillId="2" borderId="1" xfId="0" applyFill="1" applyBorder="1" applyAlignment="1">
      <alignment horizontal="center"/>
    </xf>
    <xf numFmtId="164" fontId="11" fillId="2" borderId="1" xfId="1" applyFill="1" applyBorder="1" applyAlignment="1">
      <alignment horizontal="right"/>
    </xf>
    <xf numFmtId="164" fontId="12" fillId="2" borderId="1" xfId="1" applyFont="1" applyFill="1" applyBorder="1" applyAlignment="1">
      <alignment horizontal="right"/>
    </xf>
    <xf numFmtId="164" fontId="12" fillId="0" borderId="1" xfId="1" applyFont="1" applyBorder="1" applyAlignment="1">
      <alignment horizontal="right"/>
    </xf>
    <xf numFmtId="0" fontId="0" fillId="0" borderId="0" xfId="0" applyAlignment="1">
      <alignment horizontal="justify" vertical="justify"/>
    </xf>
    <xf numFmtId="164" fontId="11" fillId="0" borderId="0" xfId="1" applyAlignment="1">
      <alignment horizontal="right"/>
    </xf>
    <xf numFmtId="0" fontId="0" fillId="0" borderId="0" xfId="0" applyAlignment="1">
      <alignment horizontal="center" vertical="justify"/>
    </xf>
    <xf numFmtId="164" fontId="0" fillId="0" borderId="1" xfId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0" xfId="0" applyFont="1"/>
    <xf numFmtId="0" fontId="11" fillId="0" borderId="1" xfId="0" applyFont="1" applyBorder="1" applyAlignment="1">
      <alignment horizontal="justify" vertical="justify"/>
    </xf>
    <xf numFmtId="0" fontId="11" fillId="0" borderId="1" xfId="0" applyFont="1" applyBorder="1" applyAlignment="1">
      <alignment horizontal="justify"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justify" vertical="justify" wrapText="1"/>
    </xf>
    <xf numFmtId="0" fontId="11" fillId="0" borderId="1" xfId="0" applyFont="1" applyBorder="1" applyAlignment="1">
      <alignment horizontal="justify" vertical="top" wrapText="1"/>
    </xf>
    <xf numFmtId="0" fontId="11" fillId="0" borderId="1" xfId="2" applyFont="1" applyBorder="1" applyAlignment="1">
      <alignment horizontal="justify" vertical="top" wrapText="1"/>
    </xf>
    <xf numFmtId="0" fontId="11" fillId="0" borderId="1" xfId="2" applyFont="1" applyBorder="1" applyAlignment="1">
      <alignment horizontal="center"/>
    </xf>
    <xf numFmtId="164" fontId="13" fillId="0" borderId="0" xfId="1" applyFont="1" applyBorder="1" applyAlignment="1">
      <alignment horizontal="right"/>
    </xf>
    <xf numFmtId="0" fontId="0" fillId="0" borderId="1" xfId="0" applyBorder="1" applyAlignment="1">
      <alignment horizontal="justify" vertical="top" wrapText="1"/>
    </xf>
    <xf numFmtId="164" fontId="11" fillId="0" borderId="2" xfId="1" applyFont="1" applyBorder="1" applyAlignment="1">
      <alignment horizontal="right"/>
    </xf>
    <xf numFmtId="0" fontId="11" fillId="0" borderId="0" xfId="3"/>
    <xf numFmtId="164" fontId="11" fillId="0" borderId="1" xfId="1" applyFont="1" applyBorder="1" applyAlignment="1">
      <alignment horizontal="right"/>
    </xf>
    <xf numFmtId="0" fontId="15" fillId="0" borderId="11" xfId="0" applyFont="1" applyBorder="1" applyAlignment="1">
      <alignment horizontal="justify" vertical="top" wrapText="1"/>
    </xf>
    <xf numFmtId="164" fontId="11" fillId="0" borderId="2" xfId="1" applyFont="1" applyBorder="1" applyAlignment="1">
      <alignment horizontal="center"/>
    </xf>
    <xf numFmtId="164" fontId="13" fillId="0" borderId="0" xfId="1" applyFont="1" applyBorder="1" applyAlignment="1">
      <alignment horizontal="left"/>
    </xf>
    <xf numFmtId="0" fontId="13" fillId="0" borderId="0" xfId="0" applyFont="1"/>
    <xf numFmtId="39" fontId="11" fillId="0" borderId="2" xfId="1" applyNumberFormat="1" applyFont="1" applyBorder="1" applyAlignment="1">
      <alignment horizontal="right"/>
    </xf>
    <xf numFmtId="2" fontId="11" fillId="0" borderId="2" xfId="1" applyNumberFormat="1" applyFont="1" applyBorder="1" applyAlignment="1">
      <alignment horizontal="center"/>
    </xf>
    <xf numFmtId="0" fontId="16" fillId="0" borderId="1" xfId="0" applyFont="1" applyBorder="1" applyAlignment="1">
      <alignment horizontal="justify" vertical="top"/>
    </xf>
    <xf numFmtId="0" fontId="16" fillId="0" borderId="1" xfId="2" applyFont="1" applyBorder="1" applyAlignment="1">
      <alignment horizontal="justify" vertical="top"/>
    </xf>
    <xf numFmtId="0" fontId="17" fillId="0" borderId="1" xfId="0" applyFont="1" applyBorder="1" applyAlignment="1">
      <alignment horizontal="justify" vertical="top"/>
    </xf>
    <xf numFmtId="0" fontId="18" fillId="0" borderId="1" xfId="0" applyFont="1" applyBorder="1" applyAlignment="1">
      <alignment horizontal="justify" vertical="top"/>
    </xf>
    <xf numFmtId="0" fontId="13" fillId="0" borderId="1" xfId="0" applyFont="1" applyBorder="1" applyAlignment="1">
      <alignment horizontal="center"/>
    </xf>
    <xf numFmtId="164" fontId="13" fillId="0" borderId="2" xfId="1" applyFont="1" applyBorder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2" fillId="0" borderId="0" xfId="0" applyFont="1" applyAlignment="1">
      <alignment horizontal="justify" vertical="justify"/>
    </xf>
    <xf numFmtId="164" fontId="21" fillId="0" borderId="0" xfId="20" applyNumberFormat="1" applyFont="1" applyFill="1" applyBorder="1" applyAlignment="1">
      <alignment horizontal="center" vertical="center"/>
    </xf>
    <xf numFmtId="164" fontId="21" fillId="0" borderId="0" xfId="20" applyNumberFormat="1" applyFont="1" applyFill="1" applyBorder="1" applyAlignment="1">
      <alignment horizontal="left" vertical="center"/>
    </xf>
    <xf numFmtId="164" fontId="21" fillId="0" borderId="0" xfId="20" applyNumberFormat="1" applyFont="1" applyFill="1" applyBorder="1" applyAlignment="1">
      <alignment vertical="center"/>
    </xf>
    <xf numFmtId="2" fontId="21" fillId="0" borderId="19" xfId="19" applyNumberFormat="1" applyFont="1" applyBorder="1" applyAlignment="1">
      <alignment horizontal="center" vertical="center"/>
    </xf>
    <xf numFmtId="0" fontId="20" fillId="0" borderId="0" xfId="19" applyFont="1"/>
    <xf numFmtId="0" fontId="22" fillId="6" borderId="15" xfId="4" applyFont="1" applyFill="1" applyBorder="1" applyAlignment="1">
      <alignment vertical="center"/>
    </xf>
    <xf numFmtId="49" fontId="23" fillId="6" borderId="16" xfId="4" applyNumberFormat="1" applyFont="1" applyFill="1" applyBorder="1" applyAlignment="1">
      <alignment horizontal="left" vertical="center"/>
    </xf>
    <xf numFmtId="0" fontId="24" fillId="6" borderId="16" xfId="4" applyFont="1" applyFill="1" applyBorder="1" applyAlignment="1">
      <alignment vertical="center"/>
    </xf>
    <xf numFmtId="4" fontId="24" fillId="6" borderId="16" xfId="4" applyNumberFormat="1" applyFont="1" applyFill="1" applyBorder="1" applyAlignment="1">
      <alignment vertical="center"/>
    </xf>
    <xf numFmtId="164" fontId="23" fillId="6" borderId="17" xfId="1" applyFont="1" applyFill="1" applyBorder="1" applyAlignment="1">
      <alignment horizontal="center" vertical="center"/>
    </xf>
    <xf numFmtId="0" fontId="22" fillId="6" borderId="2" xfId="4" applyFont="1" applyFill="1" applyBorder="1" applyAlignment="1">
      <alignment vertical="center"/>
    </xf>
    <xf numFmtId="0" fontId="22" fillId="0" borderId="1" xfId="4" applyFont="1" applyBorder="1" applyAlignment="1">
      <alignment horizontal="center" vertical="center"/>
    </xf>
    <xf numFmtId="4" fontId="22" fillId="0" borderId="1" xfId="4" applyNumberFormat="1" applyFont="1" applyBorder="1" applyAlignment="1">
      <alignment horizontal="center" vertical="center"/>
    </xf>
    <xf numFmtId="164" fontId="22" fillId="0" borderId="1" xfId="1" applyFont="1" applyBorder="1" applyAlignment="1">
      <alignment horizontal="center" vertical="center"/>
    </xf>
    <xf numFmtId="0" fontId="22" fillId="0" borderId="1" xfId="4" applyFont="1" applyBorder="1" applyAlignment="1">
      <alignment horizontal="left" vertical="center"/>
    </xf>
    <xf numFmtId="4" fontId="22" fillId="0" borderId="1" xfId="4" applyNumberFormat="1" applyFont="1" applyBorder="1" applyAlignment="1">
      <alignment horizontal="right" vertical="center"/>
    </xf>
    <xf numFmtId="164" fontId="22" fillId="0" borderId="1" xfId="1" applyFont="1" applyBorder="1" applyAlignment="1">
      <alignment horizontal="right" vertical="center"/>
    </xf>
    <xf numFmtId="0" fontId="24" fillId="0" borderId="1" xfId="4" applyFont="1" applyBorder="1" applyAlignment="1">
      <alignment horizontal="center" vertical="center" wrapText="1"/>
    </xf>
    <xf numFmtId="0" fontId="24" fillId="0" borderId="1" xfId="4" applyFont="1" applyBorder="1" applyAlignment="1">
      <alignment vertical="center" wrapText="1"/>
    </xf>
    <xf numFmtId="165" fontId="24" fillId="0" borderId="1" xfId="4" applyNumberFormat="1" applyFont="1" applyBorder="1" applyAlignment="1">
      <alignment vertical="center" wrapText="1"/>
    </xf>
    <xf numFmtId="4" fontId="24" fillId="0" borderId="1" xfId="4" applyNumberFormat="1" applyFont="1" applyBorder="1" applyAlignment="1">
      <alignment horizontal="right" vertical="center"/>
    </xf>
    <xf numFmtId="164" fontId="24" fillId="0" borderId="1" xfId="1" applyFont="1" applyFill="1" applyBorder="1" applyAlignment="1">
      <alignment vertical="center" wrapText="1"/>
    </xf>
    <xf numFmtId="164" fontId="22" fillId="2" borderId="1" xfId="1" applyFont="1" applyFill="1" applyBorder="1" applyAlignment="1">
      <alignment horizontal="right" vertical="center"/>
    </xf>
    <xf numFmtId="4" fontId="22" fillId="2" borderId="0" xfId="4" applyNumberFormat="1" applyFont="1" applyFill="1" applyAlignment="1">
      <alignment horizontal="right" vertical="center"/>
    </xf>
    <xf numFmtId="4" fontId="22" fillId="0" borderId="0" xfId="4" applyNumberFormat="1" applyFont="1" applyAlignment="1">
      <alignment horizontal="right" vertical="center"/>
    </xf>
    <xf numFmtId="0" fontId="24" fillId="0" borderId="1" xfId="4" applyFont="1" applyBorder="1" applyAlignment="1">
      <alignment horizontal="center" vertical="center"/>
    </xf>
    <xf numFmtId="4" fontId="24" fillId="0" borderId="1" xfId="19" applyNumberFormat="1" applyFont="1" applyBorder="1" applyAlignment="1">
      <alignment horizontal="right" vertical="center"/>
    </xf>
    <xf numFmtId="0" fontId="22" fillId="0" borderId="15" xfId="4" applyFont="1" applyBorder="1" applyAlignment="1">
      <alignment horizontal="left" vertical="center"/>
    </xf>
    <xf numFmtId="0" fontId="22" fillId="0" borderId="16" xfId="4" applyFont="1" applyBorder="1" applyAlignment="1">
      <alignment horizontal="left" vertical="center"/>
    </xf>
    <xf numFmtId="4" fontId="22" fillId="0" borderId="16" xfId="4" applyNumberFormat="1" applyFont="1" applyBorder="1" applyAlignment="1">
      <alignment horizontal="right" vertical="center"/>
    </xf>
    <xf numFmtId="164" fontId="22" fillId="0" borderId="17" xfId="1" applyFont="1" applyFill="1" applyBorder="1" applyAlignment="1">
      <alignment horizontal="right" vertical="center"/>
    </xf>
    <xf numFmtId="0" fontId="24" fillId="0" borderId="2" xfId="4" applyFont="1" applyBorder="1" applyAlignment="1">
      <alignment vertical="center"/>
    </xf>
    <xf numFmtId="0" fontId="24" fillId="0" borderId="0" xfId="4" applyFont="1" applyAlignment="1">
      <alignment vertical="center"/>
    </xf>
    <xf numFmtId="164" fontId="22" fillId="0" borderId="14" xfId="1" applyFont="1" applyBorder="1" applyAlignment="1">
      <alignment horizontal="right" vertical="center"/>
    </xf>
    <xf numFmtId="0" fontId="24" fillId="0" borderId="13" xfId="4" applyFont="1" applyBorder="1" applyAlignment="1">
      <alignment vertical="center"/>
    </xf>
    <xf numFmtId="0" fontId="24" fillId="0" borderId="12" xfId="4" applyFont="1" applyBorder="1" applyAlignment="1">
      <alignment vertical="center"/>
    </xf>
    <xf numFmtId="4" fontId="22" fillId="0" borderId="12" xfId="4" applyNumberFormat="1" applyFont="1" applyBorder="1" applyAlignment="1">
      <alignment horizontal="right" vertical="center"/>
    </xf>
    <xf numFmtId="164" fontId="23" fillId="6" borderId="1" xfId="1" applyFont="1" applyFill="1" applyBorder="1" applyAlignment="1">
      <alignment horizontal="right" vertical="center"/>
    </xf>
    <xf numFmtId="4" fontId="23" fillId="6" borderId="0" xfId="4" applyNumberFormat="1" applyFont="1" applyFill="1" applyAlignment="1">
      <alignment horizontal="right" vertical="center"/>
    </xf>
    <xf numFmtId="0" fontId="20" fillId="0" borderId="0" xfId="19" applyFont="1" applyAlignment="1">
      <alignment horizontal="center" vertical="top"/>
    </xf>
    <xf numFmtId="0" fontId="20" fillId="0" borderId="0" xfId="19" applyFont="1" applyAlignment="1">
      <alignment horizontal="justify" vertical="justify"/>
    </xf>
    <xf numFmtId="0" fontId="20" fillId="0" borderId="0" xfId="19" applyFont="1" applyAlignment="1">
      <alignment horizontal="center"/>
    </xf>
    <xf numFmtId="164" fontId="20" fillId="0" borderId="0" xfId="20" applyNumberFormat="1" applyFont="1" applyFill="1" applyBorder="1" applyAlignment="1">
      <alignment horizontal="right"/>
    </xf>
    <xf numFmtId="164" fontId="20" fillId="0" borderId="0" xfId="1" applyFont="1" applyFill="1" applyBorder="1" applyAlignment="1">
      <alignment horizontal="right"/>
    </xf>
    <xf numFmtId="2" fontId="21" fillId="0" borderId="0" xfId="19" applyNumberFormat="1" applyFont="1" applyAlignment="1">
      <alignment horizontal="center" vertical="center"/>
    </xf>
    <xf numFmtId="164" fontId="11" fillId="0" borderId="0" xfId="1"/>
    <xf numFmtId="0" fontId="24" fillId="0" borderId="1" xfId="4" applyFont="1" applyBorder="1" applyAlignment="1">
      <alignment horizontal="left" vertical="center"/>
    </xf>
    <xf numFmtId="0" fontId="22" fillId="6" borderId="16" xfId="4" applyFont="1" applyFill="1" applyBorder="1" applyAlignment="1">
      <alignment vertical="center"/>
    </xf>
    <xf numFmtId="0" fontId="22" fillId="6" borderId="0" xfId="4" applyFont="1" applyFill="1" applyAlignment="1">
      <alignment vertical="center"/>
    </xf>
    <xf numFmtId="0" fontId="22" fillId="6" borderId="16" xfId="4" applyFont="1" applyFill="1" applyBorder="1" applyAlignment="1">
      <alignment vertical="center" wrapText="1"/>
    </xf>
    <xf numFmtId="0" fontId="22" fillId="6" borderId="0" xfId="4" applyFont="1" applyFill="1" applyAlignment="1">
      <alignment vertical="center" wrapText="1"/>
    </xf>
    <xf numFmtId="0" fontId="22" fillId="0" borderId="1" xfId="4" applyFont="1" applyBorder="1" applyAlignment="1">
      <alignment horizontal="center" vertical="center" wrapText="1"/>
    </xf>
    <xf numFmtId="0" fontId="22" fillId="0" borderId="1" xfId="4" applyFont="1" applyBorder="1" applyAlignment="1">
      <alignment horizontal="left" vertical="center" wrapText="1"/>
    </xf>
    <xf numFmtId="0" fontId="20" fillId="0" borderId="0" xfId="19" applyFont="1" applyAlignment="1">
      <alignment horizontal="center" vertical="top" wrapText="1"/>
    </xf>
    <xf numFmtId="0" fontId="26" fillId="0" borderId="3" xfId="0" applyFont="1" applyBorder="1" applyAlignment="1">
      <alignment horizontal="left" vertical="top"/>
    </xf>
    <xf numFmtId="0" fontId="26" fillId="3" borderId="1" xfId="0" applyFont="1" applyFill="1" applyBorder="1" applyAlignment="1">
      <alignment horizontal="center" vertical="top"/>
    </xf>
    <xf numFmtId="164" fontId="26" fillId="3" borderId="1" xfId="1" applyFont="1" applyFill="1" applyBorder="1" applyAlignment="1">
      <alignment horizontal="right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horizontal="center"/>
    </xf>
    <xf numFmtId="164" fontId="20" fillId="0" borderId="1" xfId="1" applyFont="1" applyBorder="1" applyAlignment="1">
      <alignment horizontal="right"/>
    </xf>
    <xf numFmtId="39" fontId="20" fillId="0" borderId="1" xfId="1" applyNumberFormat="1" applyFont="1" applyBorder="1" applyAlignment="1">
      <alignment horizontal="right"/>
    </xf>
    <xf numFmtId="0" fontId="20" fillId="0" borderId="1" xfId="0" applyFont="1" applyBorder="1" applyAlignment="1">
      <alignment horizontal="justify" vertical="top"/>
    </xf>
    <xf numFmtId="0" fontId="20" fillId="5" borderId="1" xfId="0" applyFont="1" applyFill="1" applyBorder="1" applyAlignment="1">
      <alignment horizontal="justify" vertical="top" wrapText="1"/>
    </xf>
    <xf numFmtId="0" fontId="20" fillId="5" borderId="1" xfId="0" applyFont="1" applyFill="1" applyBorder="1" applyAlignment="1">
      <alignment horizontal="center"/>
    </xf>
    <xf numFmtId="164" fontId="20" fillId="5" borderId="1" xfId="1" applyFont="1" applyFill="1" applyBorder="1" applyAlignment="1">
      <alignment horizontal="right"/>
    </xf>
    <xf numFmtId="164" fontId="26" fillId="4" borderId="1" xfId="1" applyFont="1" applyFill="1" applyBorder="1" applyAlignment="1">
      <alignment horizontal="right"/>
    </xf>
    <xf numFmtId="164" fontId="20" fillId="0" borderId="11" xfId="1" applyFont="1" applyBorder="1" applyAlignment="1">
      <alignment horizontal="right"/>
    </xf>
    <xf numFmtId="0" fontId="26" fillId="0" borderId="2" xfId="0" applyFont="1" applyBorder="1"/>
    <xf numFmtId="0" fontId="26" fillId="0" borderId="0" xfId="0" applyFont="1"/>
    <xf numFmtId="0" fontId="20" fillId="0" borderId="0" xfId="0" applyFont="1"/>
    <xf numFmtId="0" fontId="20" fillId="0" borderId="14" xfId="0" applyFont="1" applyBorder="1"/>
    <xf numFmtId="0" fontId="20" fillId="0" borderId="2" xfId="0" applyFont="1" applyBorder="1"/>
    <xf numFmtId="0" fontId="26" fillId="3" borderId="1" xfId="0" applyFont="1" applyFill="1" applyBorder="1" applyAlignment="1">
      <alignment horizontal="center"/>
    </xf>
    <xf numFmtId="0" fontId="20" fillId="0" borderId="1" xfId="0" applyFont="1" applyBorder="1"/>
    <xf numFmtId="164" fontId="20" fillId="0" borderId="1" xfId="1" applyFont="1" applyFill="1" applyBorder="1"/>
    <xf numFmtId="164" fontId="28" fillId="0" borderId="1" xfId="1" applyFont="1" applyBorder="1"/>
    <xf numFmtId="164" fontId="20" fillId="0" borderId="1" xfId="1" applyFont="1" applyBorder="1"/>
    <xf numFmtId="164" fontId="28" fillId="0" borderId="5" xfId="1" applyFont="1" applyBorder="1"/>
    <xf numFmtId="2" fontId="20" fillId="0" borderId="0" xfId="0" applyNumberFormat="1" applyFont="1" applyAlignment="1">
      <alignment horizontal="center"/>
    </xf>
    <xf numFmtId="2" fontId="26" fillId="3" borderId="3" xfId="0" applyNumberFormat="1" applyFont="1" applyFill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164" fontId="26" fillId="0" borderId="3" xfId="1" applyFont="1" applyBorder="1"/>
    <xf numFmtId="0" fontId="26" fillId="0" borderId="4" xfId="0" applyFont="1" applyBorder="1"/>
    <xf numFmtId="0" fontId="26" fillId="0" borderId="3" xfId="3" applyFont="1" applyBorder="1" applyAlignment="1">
      <alignment vertical="top"/>
    </xf>
    <xf numFmtId="0" fontId="26" fillId="0" borderId="3" xfId="3" applyFont="1" applyBorder="1"/>
    <xf numFmtId="0" fontId="26" fillId="3" borderId="6" xfId="3" applyFont="1" applyFill="1" applyBorder="1" applyAlignment="1">
      <alignment horizontal="center"/>
    </xf>
    <xf numFmtId="164" fontId="26" fillId="3" borderId="6" xfId="1" applyFont="1" applyFill="1" applyBorder="1" applyAlignment="1">
      <alignment horizontal="center"/>
    </xf>
    <xf numFmtId="0" fontId="20" fillId="0" borderId="7" xfId="3" applyFont="1" applyBorder="1" applyAlignment="1">
      <alignment horizontal="center"/>
    </xf>
    <xf numFmtId="164" fontId="20" fillId="0" borderId="7" xfId="1" applyFont="1" applyBorder="1"/>
    <xf numFmtId="0" fontId="20" fillId="0" borderId="9" xfId="3" applyFont="1" applyBorder="1" applyAlignment="1">
      <alignment horizontal="center"/>
    </xf>
    <xf numFmtId="10" fontId="20" fillId="0" borderId="9" xfId="22" applyNumberFormat="1" applyFont="1" applyBorder="1"/>
    <xf numFmtId="10" fontId="20" fillId="0" borderId="9" xfId="1" applyNumberFormat="1" applyFont="1" applyBorder="1"/>
    <xf numFmtId="0" fontId="20" fillId="0" borderId="5" xfId="3" applyFont="1" applyBorder="1" applyAlignment="1">
      <alignment horizontal="center"/>
    </xf>
    <xf numFmtId="0" fontId="20" fillId="0" borderId="10" xfId="3" applyFont="1" applyBorder="1" applyAlignment="1">
      <alignment horizontal="center"/>
    </xf>
    <xf numFmtId="164" fontId="20" fillId="2" borderId="10" xfId="1" applyFont="1" applyFill="1" applyBorder="1"/>
    <xf numFmtId="164" fontId="26" fillId="2" borderId="10" xfId="1" applyFont="1" applyFill="1" applyBorder="1"/>
    <xf numFmtId="164" fontId="20" fillId="2" borderId="9" xfId="1" applyFont="1" applyFill="1" applyBorder="1"/>
    <xf numFmtId="164" fontId="20" fillId="0" borderId="9" xfId="1" applyFont="1" applyBorder="1"/>
    <xf numFmtId="0" fontId="11" fillId="0" borderId="0" xfId="4"/>
    <xf numFmtId="0" fontId="11" fillId="0" borderId="1" xfId="4" applyBorder="1" applyAlignment="1">
      <alignment horizontal="center"/>
    </xf>
    <xf numFmtId="0" fontId="11" fillId="0" borderId="1" xfId="4" applyBorder="1"/>
    <xf numFmtId="10" fontId="0" fillId="0" borderId="1" xfId="7" applyNumberFormat="1" applyFont="1" applyBorder="1" applyAlignment="1">
      <alignment horizontal="center"/>
    </xf>
    <xf numFmtId="0" fontId="17" fillId="8" borderId="1" xfId="4" applyFont="1" applyFill="1" applyBorder="1" applyAlignment="1">
      <alignment horizontal="center" vertical="center" wrapText="1"/>
    </xf>
    <xf numFmtId="0" fontId="17" fillId="8" borderId="1" xfId="4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center" wrapText="1"/>
    </xf>
    <xf numFmtId="0" fontId="16" fillId="0" borderId="1" xfId="4" applyFont="1" applyBorder="1" applyAlignment="1">
      <alignment wrapText="1"/>
    </xf>
    <xf numFmtId="0" fontId="16" fillId="9" borderId="1" xfId="4" applyFont="1" applyFill="1" applyBorder="1" applyAlignment="1">
      <alignment horizontal="center" wrapText="1"/>
    </xf>
    <xf numFmtId="0" fontId="11" fillId="0" borderId="0" xfId="4" applyAlignment="1">
      <alignment horizontal="center"/>
    </xf>
    <xf numFmtId="0" fontId="12" fillId="3" borderId="1" xfId="4" applyFont="1" applyFill="1" applyBorder="1" applyAlignment="1">
      <alignment horizontal="center"/>
    </xf>
    <xf numFmtId="0" fontId="3" fillId="0" borderId="0" xfId="30"/>
    <xf numFmtId="0" fontId="32" fillId="0" borderId="2" xfId="30" applyFont="1" applyBorder="1"/>
    <xf numFmtId="0" fontId="32" fillId="0" borderId="0" xfId="30" applyFont="1"/>
    <xf numFmtId="0" fontId="32" fillId="0" borderId="14" xfId="30" applyFont="1" applyBorder="1"/>
    <xf numFmtId="0" fontId="34" fillId="0" borderId="3" xfId="30" applyFont="1" applyBorder="1" applyAlignment="1">
      <alignment vertical="top"/>
    </xf>
    <xf numFmtId="0" fontId="34" fillId="0" borderId="3" xfId="30" applyFont="1" applyBorder="1"/>
    <xf numFmtId="0" fontId="28" fillId="0" borderId="11" xfId="30" applyFont="1" applyBorder="1" applyAlignment="1">
      <alignment horizontal="left"/>
    </xf>
    <xf numFmtId="0" fontId="28" fillId="0" borderId="11" xfId="30" applyFont="1" applyBorder="1"/>
    <xf numFmtId="0" fontId="28" fillId="0" borderId="4" xfId="30" applyFont="1" applyBorder="1"/>
    <xf numFmtId="0" fontId="31" fillId="3" borderId="1" xfId="31" applyFont="1" applyFill="1" applyBorder="1" applyAlignment="1">
      <alignment horizontal="center"/>
    </xf>
    <xf numFmtId="0" fontId="32" fillId="0" borderId="1" xfId="31" applyFont="1" applyBorder="1" applyAlignment="1">
      <alignment horizontal="center"/>
    </xf>
    <xf numFmtId="0" fontId="31" fillId="0" borderId="1" xfId="31" applyFont="1" applyBorder="1"/>
    <xf numFmtId="0" fontId="32" fillId="0" borderId="1" xfId="31" applyFont="1" applyBorder="1"/>
    <xf numFmtId="2" fontId="32" fillId="0" borderId="1" xfId="31" applyNumberFormat="1" applyFont="1" applyBorder="1"/>
    <xf numFmtId="0" fontId="36" fillId="0" borderId="1" xfId="32" applyFont="1" applyBorder="1" applyAlignment="1">
      <alignment horizontal="left"/>
    </xf>
    <xf numFmtId="43" fontId="36" fillId="0" borderId="1" xfId="33" applyFont="1" applyBorder="1" applyAlignment="1">
      <alignment horizontal="right"/>
    </xf>
    <xf numFmtId="0" fontId="3" fillId="0" borderId="2" xfId="31" applyBorder="1"/>
    <xf numFmtId="0" fontId="3" fillId="0" borderId="0" xfId="31"/>
    <xf numFmtId="0" fontId="3" fillId="0" borderId="14" xfId="31" applyBorder="1"/>
    <xf numFmtId="0" fontId="20" fillId="5" borderId="3" xfId="0" applyFont="1" applyFill="1" applyBorder="1" applyAlignment="1">
      <alignment horizontal="justify" vertical="top" wrapText="1"/>
    </xf>
    <xf numFmtId="0" fontId="26" fillId="7" borderId="1" xfId="0" applyFont="1" applyFill="1" applyBorder="1" applyAlignment="1">
      <alignment horizontal="center" vertical="top"/>
    </xf>
    <xf numFmtId="0" fontId="26" fillId="7" borderId="3" xfId="0" applyFont="1" applyFill="1" applyBorder="1" applyAlignment="1">
      <alignment horizontal="left" vertical="justify"/>
    </xf>
    <xf numFmtId="0" fontId="26" fillId="7" borderId="11" xfId="0" applyFont="1" applyFill="1" applyBorder="1" applyAlignment="1">
      <alignment horizontal="left" vertical="justify"/>
    </xf>
    <xf numFmtId="0" fontId="26" fillId="7" borderId="4" xfId="0" applyFont="1" applyFill="1" applyBorder="1" applyAlignment="1">
      <alignment horizontal="left" vertical="justify"/>
    </xf>
    <xf numFmtId="164" fontId="20" fillId="7" borderId="3" xfId="1" applyFont="1" applyFill="1" applyBorder="1" applyAlignment="1">
      <alignment horizontal="center"/>
    </xf>
    <xf numFmtId="164" fontId="20" fillId="7" borderId="4" xfId="1" applyFont="1" applyFill="1" applyBorder="1" applyAlignment="1">
      <alignment horizontal="center"/>
    </xf>
    <xf numFmtId="164" fontId="26" fillId="7" borderId="1" xfId="1" applyFont="1" applyFill="1" applyBorder="1" applyAlignment="1">
      <alignment horizontal="right"/>
    </xf>
    <xf numFmtId="2" fontId="31" fillId="3" borderId="1" xfId="16" applyNumberFormat="1" applyFont="1" applyFill="1" applyBorder="1"/>
    <xf numFmtId="0" fontId="24" fillId="0" borderId="0" xfId="4" applyFont="1" applyAlignment="1">
      <alignment vertical="center" wrapText="1"/>
    </xf>
    <xf numFmtId="0" fontId="24" fillId="0" borderId="12" xfId="4" applyFont="1" applyBorder="1" applyAlignment="1">
      <alignment vertical="center" wrapText="1"/>
    </xf>
    <xf numFmtId="0" fontId="42" fillId="0" borderId="1" xfId="37" applyFont="1" applyBorder="1" applyAlignment="1">
      <alignment horizontal="center" vertical="center" wrapText="1"/>
    </xf>
    <xf numFmtId="0" fontId="42" fillId="0" borderId="1" xfId="37" applyFont="1" applyBorder="1" applyAlignment="1">
      <alignment horizontal="left" vertical="center" wrapText="1"/>
    </xf>
    <xf numFmtId="164" fontId="20" fillId="0" borderId="4" xfId="1" applyFont="1" applyBorder="1" applyAlignment="1">
      <alignment horizontal="right"/>
    </xf>
    <xf numFmtId="0" fontId="26" fillId="3" borderId="1" xfId="0" applyFont="1" applyFill="1" applyBorder="1" applyAlignment="1">
      <alignment horizontal="left" vertical="top" wrapText="1"/>
    </xf>
    <xf numFmtId="0" fontId="26" fillId="3" borderId="3" xfId="0" applyFont="1" applyFill="1" applyBorder="1" applyAlignment="1">
      <alignment vertical="justify"/>
    </xf>
    <xf numFmtId="0" fontId="26" fillId="3" borderId="11" xfId="0" applyFont="1" applyFill="1" applyBorder="1" applyAlignment="1">
      <alignment vertical="justify"/>
    </xf>
    <xf numFmtId="0" fontId="26" fillId="3" borderId="4" xfId="0" applyFont="1" applyFill="1" applyBorder="1" applyAlignment="1">
      <alignment vertical="justify"/>
    </xf>
    <xf numFmtId="0" fontId="26" fillId="7" borderId="3" xfId="0" applyFont="1" applyFill="1" applyBorder="1" applyAlignment="1">
      <alignment vertical="justify"/>
    </xf>
    <xf numFmtId="0" fontId="26" fillId="7" borderId="11" xfId="0" applyFont="1" applyFill="1" applyBorder="1" applyAlignment="1">
      <alignment vertical="justify"/>
    </xf>
    <xf numFmtId="0" fontId="26" fillId="7" borderId="4" xfId="0" applyFont="1" applyFill="1" applyBorder="1" applyAlignment="1">
      <alignment vertical="justify"/>
    </xf>
    <xf numFmtId="164" fontId="20" fillId="3" borderId="3" xfId="1" applyFont="1" applyFill="1" applyBorder="1" applyAlignment="1"/>
    <xf numFmtId="164" fontId="20" fillId="3" borderId="4" xfId="1" applyFont="1" applyFill="1" applyBorder="1" applyAlignment="1"/>
    <xf numFmtId="0" fontId="20" fillId="0" borderId="0" xfId="0" applyFont="1" applyAlignment="1">
      <alignment horizontal="center"/>
    </xf>
    <xf numFmtId="0" fontId="26" fillId="0" borderId="14" xfId="0" applyFont="1" applyBorder="1"/>
    <xf numFmtId="0" fontId="22" fillId="0" borderId="16" xfId="4" applyFont="1" applyBorder="1" applyAlignment="1">
      <alignment horizontal="left" vertical="center" wrapText="1"/>
    </xf>
    <xf numFmtId="43" fontId="0" fillId="0" borderId="0" xfId="0" applyNumberFormat="1"/>
    <xf numFmtId="0" fontId="43" fillId="0" borderId="0" xfId="0" applyFont="1"/>
    <xf numFmtId="0" fontId="24" fillId="5" borderId="1" xfId="4" applyFont="1" applyFill="1" applyBorder="1" applyAlignment="1">
      <alignment horizontal="center" vertical="center" wrapText="1"/>
    </xf>
    <xf numFmtId="0" fontId="24" fillId="5" borderId="1" xfId="4" applyFont="1" applyFill="1" applyBorder="1" applyAlignment="1">
      <alignment vertical="center" wrapText="1"/>
    </xf>
    <xf numFmtId="165" fontId="24" fillId="5" borderId="1" xfId="4" applyNumberFormat="1" applyFont="1" applyFill="1" applyBorder="1" applyAlignment="1">
      <alignment vertical="center" wrapText="1"/>
    </xf>
    <xf numFmtId="4" fontId="24" fillId="5" borderId="1" xfId="4" applyNumberFormat="1" applyFont="1" applyFill="1" applyBorder="1" applyAlignment="1">
      <alignment horizontal="right" vertical="center"/>
    </xf>
    <xf numFmtId="0" fontId="22" fillId="5" borderId="1" xfId="4" applyFont="1" applyFill="1" applyBorder="1" applyAlignment="1">
      <alignment horizontal="left" vertical="center"/>
    </xf>
    <xf numFmtId="4" fontId="22" fillId="5" borderId="1" xfId="4" applyNumberFormat="1" applyFont="1" applyFill="1" applyBorder="1" applyAlignment="1">
      <alignment horizontal="right" vertical="center"/>
    </xf>
    <xf numFmtId="0" fontId="24" fillId="5" borderId="1" xfId="4" applyFont="1" applyFill="1" applyBorder="1" applyAlignment="1">
      <alignment horizontal="center" vertical="center"/>
    </xf>
    <xf numFmtId="4" fontId="24" fillId="5" borderId="1" xfId="19" applyNumberFormat="1" applyFont="1" applyFill="1" applyBorder="1" applyAlignment="1">
      <alignment horizontal="right" vertical="center"/>
    </xf>
    <xf numFmtId="0" fontId="24" fillId="0" borderId="1" xfId="4" applyFont="1" applyBorder="1" applyAlignment="1">
      <alignment horizontal="justify" vertical="center" wrapText="1"/>
    </xf>
    <xf numFmtId="0" fontId="24" fillId="5" borderId="1" xfId="4" applyFont="1" applyFill="1" applyBorder="1" applyAlignment="1">
      <alignment horizontal="justify" vertical="center" wrapText="1"/>
    </xf>
    <xf numFmtId="0" fontId="24" fillId="5" borderId="1" xfId="4" applyFont="1" applyFill="1" applyBorder="1" applyAlignment="1">
      <alignment horizontal="justify" vertical="top" wrapText="1"/>
    </xf>
    <xf numFmtId="0" fontId="26" fillId="3" borderId="3" xfId="0" applyFont="1" applyFill="1" applyBorder="1" applyAlignment="1">
      <alignment horizontal="left" vertical="top" wrapText="1"/>
    </xf>
    <xf numFmtId="164" fontId="20" fillId="7" borderId="11" xfId="1" applyFont="1" applyFill="1" applyBorder="1" applyAlignment="1">
      <alignment horizontal="center"/>
    </xf>
    <xf numFmtId="164" fontId="26" fillId="7" borderId="4" xfId="1" applyFont="1" applyFill="1" applyBorder="1" applyAlignment="1">
      <alignment horizontal="center"/>
    </xf>
    <xf numFmtId="164" fontId="26" fillId="7" borderId="1" xfId="1" applyFont="1" applyFill="1" applyBorder="1" applyAlignment="1">
      <alignment horizontal="center"/>
    </xf>
    <xf numFmtId="164" fontId="20" fillId="7" borderId="3" xfId="1" applyFont="1" applyFill="1" applyBorder="1" applyAlignment="1"/>
    <xf numFmtId="164" fontId="20" fillId="7" borderId="4" xfId="1" applyFont="1" applyFill="1" applyBorder="1" applyAlignment="1"/>
    <xf numFmtId="0" fontId="20" fillId="0" borderId="1" xfId="0" applyFont="1" applyBorder="1" applyAlignment="1">
      <alignment horizontal="center" wrapText="1"/>
    </xf>
    <xf numFmtId="164" fontId="20" fillId="0" borderId="3" xfId="1" applyFont="1" applyBorder="1" applyAlignment="1">
      <alignment horizontal="right"/>
    </xf>
    <xf numFmtId="0" fontId="26" fillId="0" borderId="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0" fillId="0" borderId="1" xfId="0" quotePrefix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6" fillId="7" borderId="1" xfId="0" applyFont="1" applyFill="1" applyBorder="1" applyAlignment="1">
      <alignment horizontal="left" vertical="top" wrapText="1"/>
    </xf>
    <xf numFmtId="0" fontId="26" fillId="7" borderId="3" xfId="0" applyFont="1" applyFill="1" applyBorder="1" applyAlignment="1">
      <alignment horizontal="left" vertical="top" wrapText="1"/>
    </xf>
    <xf numFmtId="0" fontId="20" fillId="5" borderId="1" xfId="0" quotePrefix="1" applyFont="1" applyFill="1" applyBorder="1" applyAlignment="1">
      <alignment horizontal="center" vertical="top" wrapText="1"/>
    </xf>
    <xf numFmtId="0" fontId="20" fillId="5" borderId="1" xfId="0" applyFont="1" applyFill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20" fillId="0" borderId="1" xfId="0" applyFont="1" applyBorder="1" applyAlignment="1">
      <alignment horizontal="center" vertical="center"/>
    </xf>
    <xf numFmtId="0" fontId="20" fillId="0" borderId="1" xfId="0" quotePrefix="1" applyFont="1" applyBorder="1" applyAlignment="1">
      <alignment horizontal="center" vertical="center" wrapText="1"/>
    </xf>
    <xf numFmtId="164" fontId="20" fillId="7" borderId="4" xfId="1" applyFont="1" applyFill="1" applyBorder="1" applyAlignment="1">
      <alignment horizontal="center" vertical="top"/>
    </xf>
    <xf numFmtId="0" fontId="26" fillId="3" borderId="2" xfId="0" applyFont="1" applyFill="1" applyBorder="1"/>
    <xf numFmtId="0" fontId="26" fillId="3" borderId="0" xfId="0" applyFont="1" applyFill="1"/>
    <xf numFmtId="0" fontId="26" fillId="7" borderId="2" xfId="0" applyFont="1" applyFill="1" applyBorder="1"/>
    <xf numFmtId="0" fontId="26" fillId="7" borderId="0" xfId="0" applyFont="1" applyFill="1"/>
    <xf numFmtId="164" fontId="26" fillId="0" borderId="0" xfId="1" applyFont="1" applyBorder="1"/>
    <xf numFmtId="0" fontId="26" fillId="0" borderId="1" xfId="0" applyFont="1" applyBorder="1"/>
    <xf numFmtId="0" fontId="26" fillId="4" borderId="1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top"/>
    </xf>
    <xf numFmtId="164" fontId="26" fillId="2" borderId="3" xfId="1" applyFont="1" applyFill="1" applyBorder="1" applyAlignment="1">
      <alignment horizontal="right"/>
    </xf>
    <xf numFmtId="164" fontId="26" fillId="2" borderId="11" xfId="1" applyFont="1" applyFill="1" applyBorder="1" applyAlignment="1">
      <alignment horizontal="right"/>
    </xf>
    <xf numFmtId="164" fontId="26" fillId="2" borderId="4" xfId="1" applyFont="1" applyFill="1" applyBorder="1" applyAlignment="1">
      <alignment horizontal="right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center"/>
    </xf>
    <xf numFmtId="0" fontId="26" fillId="2" borderId="1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horizontal="center" vertical="center"/>
    </xf>
    <xf numFmtId="164" fontId="26" fillId="2" borderId="1" xfId="1" applyFont="1" applyFill="1" applyBorder="1" applyAlignment="1">
      <alignment horizontal="center" vertical="center"/>
    </xf>
    <xf numFmtId="164" fontId="29" fillId="10" borderId="1" xfId="1" applyFont="1" applyFill="1" applyBorder="1" applyAlignment="1">
      <alignment horizontal="center"/>
    </xf>
    <xf numFmtId="164" fontId="26" fillId="2" borderId="1" xfId="1" applyFont="1" applyFill="1" applyBorder="1" applyAlignment="1">
      <alignment horizontal="center" wrapText="1"/>
    </xf>
    <xf numFmtId="0" fontId="26" fillId="0" borderId="3" xfId="1" applyNumberFormat="1" applyFont="1" applyBorder="1" applyAlignment="1">
      <alignment horizontal="center"/>
    </xf>
    <xf numFmtId="0" fontId="26" fillId="0" borderId="11" xfId="1" applyNumberFormat="1" applyFont="1" applyBorder="1" applyAlignment="1">
      <alignment horizontal="center"/>
    </xf>
    <xf numFmtId="0" fontId="26" fillId="0" borderId="4" xfId="1" applyNumberFormat="1" applyFont="1" applyBorder="1" applyAlignment="1">
      <alignment horizontal="center"/>
    </xf>
    <xf numFmtId="0" fontId="27" fillId="0" borderId="15" xfId="0" applyFont="1" applyBorder="1" applyAlignment="1">
      <alignment horizontal="center" vertical="top"/>
    </xf>
    <xf numFmtId="0" fontId="27" fillId="0" borderId="16" xfId="0" applyFont="1" applyBorder="1" applyAlignment="1">
      <alignment horizontal="center" vertical="top"/>
    </xf>
    <xf numFmtId="0" fontId="27" fillId="0" borderId="17" xfId="0" applyFont="1" applyBorder="1" applyAlignment="1">
      <alignment horizontal="center" vertical="top"/>
    </xf>
    <xf numFmtId="0" fontId="27" fillId="0" borderId="2" xfId="0" applyFont="1" applyBorder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7" fillId="0" borderId="14" xfId="0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/>
    </xf>
    <xf numFmtId="0" fontId="27" fillId="0" borderId="18" xfId="0" applyFont="1" applyBorder="1" applyAlignment="1">
      <alignment horizontal="center" vertical="top"/>
    </xf>
    <xf numFmtId="0" fontId="27" fillId="3" borderId="2" xfId="0" applyFont="1" applyFill="1" applyBorder="1" applyAlignment="1">
      <alignment horizontal="center" vertical="top"/>
    </xf>
    <xf numFmtId="0" fontId="27" fillId="3" borderId="0" xfId="0" applyFont="1" applyFill="1" applyAlignment="1">
      <alignment horizontal="center"/>
    </xf>
    <xf numFmtId="0" fontId="27" fillId="3" borderId="14" xfId="0" applyFont="1" applyFill="1" applyBorder="1" applyAlignment="1">
      <alignment horizontal="center"/>
    </xf>
    <xf numFmtId="0" fontId="26" fillId="7" borderId="3" xfId="0" applyFont="1" applyFill="1" applyBorder="1" applyAlignment="1">
      <alignment horizontal="center" vertical="top" wrapText="1"/>
    </xf>
    <xf numFmtId="0" fontId="26" fillId="7" borderId="4" xfId="0" applyFont="1" applyFill="1" applyBorder="1" applyAlignment="1">
      <alignment horizontal="center" vertical="top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justify" vertical="justify"/>
    </xf>
    <xf numFmtId="0" fontId="0" fillId="0" borderId="0" xfId="0" applyAlignment="1"/>
    <xf numFmtId="0" fontId="0" fillId="0" borderId="0" xfId="0" applyAlignment="1">
      <alignment horizontal="justify" vertical="justify"/>
    </xf>
    <xf numFmtId="49" fontId="0" fillId="0" borderId="0" xfId="0" applyNumberFormat="1" applyAlignment="1">
      <alignment horizontal="justify" vertical="justify"/>
    </xf>
    <xf numFmtId="0" fontId="22" fillId="0" borderId="3" xfId="0" applyFont="1" applyBorder="1" applyAlignment="1">
      <alignment horizontal="justify" wrapText="1"/>
    </xf>
    <xf numFmtId="0" fontId="22" fillId="0" borderId="11" xfId="0" applyFont="1" applyBorder="1" applyAlignment="1">
      <alignment horizontal="justify" wrapText="1"/>
    </xf>
    <xf numFmtId="0" fontId="22" fillId="0" borderId="4" xfId="0" applyFont="1" applyBorder="1" applyAlignment="1">
      <alignment horizontal="justify" wrapText="1"/>
    </xf>
    <xf numFmtId="0" fontId="20" fillId="0" borderId="11" xfId="0" applyFont="1" applyBorder="1" applyAlignment="1"/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2" fillId="0" borderId="3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49" fontId="20" fillId="0" borderId="11" xfId="1" applyNumberFormat="1" applyFont="1" applyBorder="1" applyAlignment="1">
      <alignment horizontal="right"/>
    </xf>
    <xf numFmtId="0" fontId="20" fillId="0" borderId="4" xfId="0" applyFont="1" applyBorder="1" applyAlignment="1"/>
    <xf numFmtId="0" fontId="22" fillId="0" borderId="3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0" borderId="4" xfId="0" applyFont="1" applyBorder="1" applyAlignment="1">
      <alignment horizontal="left" wrapText="1"/>
    </xf>
    <xf numFmtId="0" fontId="27" fillId="0" borderId="3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3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5" xfId="3" applyFont="1" applyBorder="1" applyAlignment="1">
      <alignment horizontal="center" vertical="center"/>
    </xf>
    <xf numFmtId="0" fontId="20" fillId="0" borderId="8" xfId="3" applyFont="1" applyBorder="1" applyAlignment="1">
      <alignment horizontal="center" vertical="center"/>
    </xf>
    <xf numFmtId="0" fontId="20" fillId="0" borderId="5" xfId="3" applyFont="1" applyBorder="1" applyAlignment="1">
      <alignment vertical="center"/>
    </xf>
    <xf numFmtId="0" fontId="20" fillId="0" borderId="8" xfId="3" applyFont="1" applyBorder="1" applyAlignment="1">
      <alignment vertical="center"/>
    </xf>
    <xf numFmtId="0" fontId="27" fillId="0" borderId="3" xfId="3" applyFont="1" applyBorder="1" applyAlignment="1">
      <alignment horizontal="center"/>
    </xf>
    <xf numFmtId="0" fontId="27" fillId="0" borderId="11" xfId="3" applyFont="1" applyBorder="1" applyAlignment="1">
      <alignment horizontal="center"/>
    </xf>
    <xf numFmtId="0" fontId="27" fillId="0" borderId="4" xfId="3" applyFont="1" applyBorder="1" applyAlignment="1">
      <alignment horizontal="center"/>
    </xf>
    <xf numFmtId="0" fontId="27" fillId="3" borderId="2" xfId="3" applyFont="1" applyFill="1" applyBorder="1" applyAlignment="1">
      <alignment horizontal="center"/>
    </xf>
    <xf numFmtId="0" fontId="27" fillId="3" borderId="0" xfId="3" applyFont="1" applyFill="1" applyAlignment="1">
      <alignment horizontal="center"/>
    </xf>
    <xf numFmtId="0" fontId="27" fillId="3" borderId="14" xfId="3" applyFont="1" applyFill="1" applyBorder="1" applyAlignment="1">
      <alignment horizontal="center"/>
    </xf>
    <xf numFmtId="0" fontId="20" fillId="0" borderId="7" xfId="3" applyFont="1" applyBorder="1" applyAlignment="1">
      <alignment horizontal="center" vertical="center"/>
    </xf>
    <xf numFmtId="0" fontId="20" fillId="0" borderId="7" xfId="3" applyFont="1" applyBorder="1" applyAlignment="1">
      <alignment vertical="center"/>
    </xf>
    <xf numFmtId="0" fontId="20" fillId="0" borderId="11" xfId="3" applyFont="1" applyBorder="1" applyAlignment="1">
      <alignment horizontal="left"/>
    </xf>
    <xf numFmtId="0" fontId="20" fillId="0" borderId="4" xfId="3" applyFont="1" applyBorder="1" applyAlignment="1">
      <alignment horizontal="left"/>
    </xf>
    <xf numFmtId="0" fontId="20" fillId="0" borderId="11" xfId="3" applyFont="1" applyBorder="1" applyAlignment="1">
      <alignment horizontal="left" vertical="justify"/>
    </xf>
    <xf numFmtId="0" fontId="20" fillId="0" borderId="4" xfId="0" applyFont="1" applyBorder="1" applyAlignment="1">
      <alignment horizontal="left"/>
    </xf>
    <xf numFmtId="0" fontId="36" fillId="0" borderId="15" xfId="3" applyFont="1" applyBorder="1" applyAlignment="1">
      <alignment horizontal="center"/>
    </xf>
    <xf numFmtId="0" fontId="36" fillId="0" borderId="16" xfId="3" applyFont="1" applyBorder="1" applyAlignment="1">
      <alignment horizontal="center"/>
    </xf>
    <xf numFmtId="0" fontId="36" fillId="0" borderId="17" xfId="3" applyFont="1" applyBorder="1" applyAlignment="1">
      <alignment horizontal="center"/>
    </xf>
    <xf numFmtId="0" fontId="26" fillId="0" borderId="3" xfId="3" applyFont="1" applyBorder="1" applyAlignment="1">
      <alignment horizontal="center"/>
    </xf>
    <xf numFmtId="0" fontId="26" fillId="0" borderId="11" xfId="3" applyFont="1" applyBorder="1" applyAlignment="1">
      <alignment horizontal="center"/>
    </xf>
    <xf numFmtId="0" fontId="26" fillId="0" borderId="4" xfId="3" applyFont="1" applyBorder="1" applyAlignment="1">
      <alignment horizontal="center"/>
    </xf>
    <xf numFmtId="0" fontId="37" fillId="0" borderId="2" xfId="3" applyFont="1" applyBorder="1" applyAlignment="1">
      <alignment horizontal="center"/>
    </xf>
    <xf numFmtId="0" fontId="37" fillId="0" borderId="0" xfId="3" applyFont="1" applyAlignment="1">
      <alignment horizontal="center"/>
    </xf>
    <xf numFmtId="0" fontId="37" fillId="0" borderId="14" xfId="3" applyFont="1" applyBorder="1" applyAlignment="1">
      <alignment horizontal="center"/>
    </xf>
    <xf numFmtId="0" fontId="37" fillId="0" borderId="13" xfId="3" applyFont="1" applyBorder="1" applyAlignment="1">
      <alignment horizontal="center"/>
    </xf>
    <xf numFmtId="0" fontId="37" fillId="0" borderId="12" xfId="3" applyFont="1" applyBorder="1" applyAlignment="1">
      <alignment horizontal="center"/>
    </xf>
    <xf numFmtId="0" fontId="37" fillId="0" borderId="18" xfId="3" applyFont="1" applyBorder="1" applyAlignment="1">
      <alignment horizontal="center"/>
    </xf>
    <xf numFmtId="0" fontId="20" fillId="0" borderId="10" xfId="3" applyFont="1" applyBorder="1" applyAlignment="1"/>
    <xf numFmtId="0" fontId="20" fillId="0" borderId="8" xfId="3" applyFont="1" applyBorder="1" applyAlignment="1"/>
    <xf numFmtId="0" fontId="20" fillId="0" borderId="10" xfId="3" applyFont="1" applyBorder="1" applyAlignment="1">
      <alignment vertical="center"/>
    </xf>
    <xf numFmtId="0" fontId="36" fillId="0" borderId="13" xfId="4" applyFont="1" applyBorder="1" applyAlignment="1">
      <alignment horizontal="left" vertical="distributed"/>
    </xf>
    <xf numFmtId="0" fontId="36" fillId="0" borderId="12" xfId="4" applyFont="1" applyBorder="1" applyAlignment="1">
      <alignment horizontal="left" vertical="distributed"/>
    </xf>
    <xf numFmtId="0" fontId="36" fillId="0" borderId="18" xfId="4" applyFont="1" applyBorder="1" applyAlignment="1">
      <alignment horizontal="left" vertical="distributed"/>
    </xf>
    <xf numFmtId="0" fontId="31" fillId="0" borderId="3" xfId="30" applyFont="1" applyBorder="1" applyAlignment="1">
      <alignment horizontal="center"/>
    </xf>
    <xf numFmtId="0" fontId="31" fillId="0" borderId="11" xfId="30" applyFont="1" applyBorder="1" applyAlignment="1">
      <alignment horizontal="center"/>
    </xf>
    <xf numFmtId="0" fontId="31" fillId="0" borderId="4" xfId="30" applyFont="1" applyBorder="1" applyAlignment="1">
      <alignment horizontal="center"/>
    </xf>
    <xf numFmtId="0" fontId="31" fillId="3" borderId="2" xfId="30" applyFont="1" applyFill="1" applyBorder="1" applyAlignment="1">
      <alignment horizontal="center"/>
    </xf>
    <xf numFmtId="0" fontId="31" fillId="3" borderId="0" xfId="30" applyFont="1" applyFill="1" applyAlignment="1">
      <alignment horizontal="center"/>
    </xf>
    <xf numFmtId="0" fontId="31" fillId="3" borderId="14" xfId="30" applyFont="1" applyFill="1" applyBorder="1" applyAlignment="1">
      <alignment horizontal="center"/>
    </xf>
    <xf numFmtId="0" fontId="33" fillId="0" borderId="2" xfId="30" applyFont="1" applyBorder="1" applyAlignment="1">
      <alignment horizontal="center"/>
    </xf>
    <xf numFmtId="0" fontId="33" fillId="0" borderId="0" xfId="30" applyFont="1" applyAlignment="1">
      <alignment horizontal="center"/>
    </xf>
    <xf numFmtId="0" fontId="33" fillId="0" borderId="14" xfId="30" applyFont="1" applyBorder="1" applyAlignment="1">
      <alignment horizontal="center"/>
    </xf>
    <xf numFmtId="0" fontId="33" fillId="0" borderId="13" xfId="30" applyFont="1" applyBorder="1" applyAlignment="1">
      <alignment horizontal="center"/>
    </xf>
    <xf numFmtId="0" fontId="33" fillId="0" borderId="12" xfId="30" applyFont="1" applyBorder="1" applyAlignment="1">
      <alignment horizontal="center"/>
    </xf>
    <xf numFmtId="0" fontId="33" fillId="0" borderId="18" xfId="30" applyFont="1" applyBorder="1" applyAlignment="1">
      <alignment horizontal="center"/>
    </xf>
    <xf numFmtId="0" fontId="28" fillId="0" borderId="11" xfId="30" applyFont="1" applyBorder="1" applyAlignment="1">
      <alignment horizontal="left" vertical="top"/>
    </xf>
    <xf numFmtId="0" fontId="28" fillId="0" borderId="4" xfId="30" applyFont="1" applyBorder="1" applyAlignment="1">
      <alignment horizontal="left" vertical="top"/>
    </xf>
    <xf numFmtId="0" fontId="35" fillId="0" borderId="3" xfId="31" applyFont="1" applyBorder="1" applyAlignment="1">
      <alignment horizontal="center"/>
    </xf>
    <xf numFmtId="0" fontId="35" fillId="0" borderId="11" xfId="31" applyFont="1" applyBorder="1" applyAlignment="1">
      <alignment horizontal="center"/>
    </xf>
    <xf numFmtId="0" fontId="35" fillId="0" borderId="4" xfId="31" applyFont="1" applyBorder="1" applyAlignment="1">
      <alignment horizontal="center"/>
    </xf>
    <xf numFmtId="0" fontId="31" fillId="3" borderId="3" xfId="31" applyFont="1" applyFill="1" applyBorder="1" applyAlignment="1">
      <alignment horizontal="center"/>
    </xf>
    <xf numFmtId="0" fontId="31" fillId="3" borderId="11" xfId="31" applyFont="1" applyFill="1" applyBorder="1" applyAlignment="1">
      <alignment horizontal="center"/>
    </xf>
    <xf numFmtId="0" fontId="31" fillId="3" borderId="4" xfId="31" applyFont="1" applyFill="1" applyBorder="1" applyAlignment="1">
      <alignment horizontal="center"/>
    </xf>
    <xf numFmtId="0" fontId="23" fillId="2" borderId="0" xfId="4" applyFont="1" applyFill="1" applyAlignment="1">
      <alignment horizontal="justify" vertical="center" wrapText="1"/>
    </xf>
    <xf numFmtId="0" fontId="23" fillId="2" borderId="14" xfId="4" applyFont="1" applyFill="1" applyBorder="1" applyAlignment="1">
      <alignment horizontal="justify" vertical="center" wrapText="1"/>
    </xf>
    <xf numFmtId="4" fontId="22" fillId="0" borderId="3" xfId="4" applyNumberFormat="1" applyFont="1" applyBorder="1" applyAlignment="1">
      <alignment horizontal="right" vertical="center"/>
    </xf>
    <xf numFmtId="4" fontId="22" fillId="0" borderId="11" xfId="4" applyNumberFormat="1" applyFont="1" applyBorder="1" applyAlignment="1">
      <alignment horizontal="right" vertical="center"/>
    </xf>
    <xf numFmtId="4" fontId="22" fillId="0" borderId="4" xfId="4" applyNumberFormat="1" applyFont="1" applyBorder="1" applyAlignment="1">
      <alignment horizontal="right" vertical="center"/>
    </xf>
    <xf numFmtId="4" fontId="22" fillId="5" borderId="3" xfId="4" applyNumberFormat="1" applyFont="1" applyFill="1" applyBorder="1" applyAlignment="1">
      <alignment horizontal="right" vertical="center"/>
    </xf>
    <xf numFmtId="4" fontId="22" fillId="5" borderId="4" xfId="4" applyNumberFormat="1" applyFont="1" applyFill="1" applyBorder="1" applyAlignment="1">
      <alignment horizontal="right" vertical="center"/>
    </xf>
    <xf numFmtId="0" fontId="22" fillId="5" borderId="13" xfId="4" applyFont="1" applyFill="1" applyBorder="1" applyAlignment="1">
      <alignment horizontal="center" vertical="center"/>
    </xf>
    <xf numFmtId="0" fontId="22" fillId="5" borderId="12" xfId="4" applyFont="1" applyFill="1" applyBorder="1" applyAlignment="1">
      <alignment horizontal="center" vertical="center"/>
    </xf>
    <xf numFmtId="0" fontId="11" fillId="0" borderId="3" xfId="4" applyBorder="1" applyAlignment="1">
      <alignment horizontal="left"/>
    </xf>
    <xf numFmtId="0" fontId="11" fillId="0" borderId="4" xfId="4" applyBorder="1" applyAlignment="1">
      <alignment horizontal="left"/>
    </xf>
    <xf numFmtId="0" fontId="40" fillId="0" borderId="0" xfId="4" applyFont="1" applyAlignment="1">
      <alignment horizontal="center"/>
    </xf>
    <xf numFmtId="0" fontId="12" fillId="0" borderId="3" xfId="4" applyFont="1" applyBorder="1" applyAlignment="1">
      <alignment horizontal="left"/>
    </xf>
    <xf numFmtId="0" fontId="12" fillId="0" borderId="11" xfId="4" applyFont="1" applyBorder="1" applyAlignment="1">
      <alignment horizontal="left"/>
    </xf>
    <xf numFmtId="0" fontId="12" fillId="0" borderId="4" xfId="4" applyFont="1" applyBorder="1" applyAlignment="1">
      <alignment horizontal="left"/>
    </xf>
    <xf numFmtId="0" fontId="16" fillId="0" borderId="3" xfId="4" applyFont="1" applyBorder="1" applyAlignment="1">
      <alignment horizontal="center" wrapText="1"/>
    </xf>
    <xf numFmtId="0" fontId="16" fillId="0" borderId="11" xfId="4" applyFont="1" applyBorder="1" applyAlignment="1">
      <alignment horizontal="center" wrapText="1"/>
    </xf>
    <xf numFmtId="0" fontId="16" fillId="0" borderId="4" xfId="4" applyFont="1" applyBorder="1" applyAlignment="1">
      <alignment horizontal="center" wrapText="1"/>
    </xf>
  </cellXfs>
  <cellStyles count="55">
    <cellStyle name="0,0_x000d__x000a_NA_x000d__x000a_" xfId="38" xr:uid="{00000000-0005-0000-0000-000000000000}"/>
    <cellStyle name="Hiperlink 2" xfId="54" xr:uid="{9E79E673-EB10-448A-8AFA-64FE606D7BDC}"/>
    <cellStyle name="Moeda 2" xfId="39" xr:uid="{00000000-0005-0000-0000-000002000000}"/>
    <cellStyle name="Normal" xfId="0" builtinId="0"/>
    <cellStyle name="Normal 11" xfId="19" xr:uid="{00000000-0005-0000-0000-000001000000}"/>
    <cellStyle name="Normal 2" xfId="2" xr:uid="{00000000-0005-0000-0000-000002000000}"/>
    <cellStyle name="Normal 2 2" xfId="4" xr:uid="{00000000-0005-0000-0000-000003000000}"/>
    <cellStyle name="Normal 2 3" xfId="9" xr:uid="{00000000-0005-0000-0000-000004000000}"/>
    <cellStyle name="Normal 2 3 2" xfId="14" xr:uid="{00000000-0005-0000-0000-000005000000}"/>
    <cellStyle name="Normal 2 3 3" xfId="21" xr:uid="{00000000-0005-0000-0000-000006000000}"/>
    <cellStyle name="Normal 3" xfId="3" xr:uid="{00000000-0005-0000-0000-000007000000}"/>
    <cellStyle name="Normal 4" xfId="5" xr:uid="{00000000-0005-0000-0000-000008000000}"/>
    <cellStyle name="Normal 4 2" xfId="10" xr:uid="{00000000-0005-0000-0000-000009000000}"/>
    <cellStyle name="Normal 4 2 2" xfId="16" xr:uid="{00000000-0005-0000-0000-00000A000000}"/>
    <cellStyle name="Normal 4 2 2 2" xfId="31" xr:uid="{00000000-0005-0000-0000-00000B000000}"/>
    <cellStyle name="Normal 4 2 2 2 2" xfId="50" xr:uid="{84A50B97-DF60-459E-98E1-5F7BB6BD904B}"/>
    <cellStyle name="Normal 4 2 2 3" xfId="44" xr:uid="{00000000-0005-0000-0000-000006000000}"/>
    <cellStyle name="Normal 4 3" xfId="15" xr:uid="{00000000-0005-0000-0000-00000C000000}"/>
    <cellStyle name="Normal 4 3 2" xfId="30" xr:uid="{00000000-0005-0000-0000-00000D000000}"/>
    <cellStyle name="Normal 4 3 2 2" xfId="49" xr:uid="{F699F5DB-B3ED-4B2B-83B6-113FF45730ED}"/>
    <cellStyle name="Normal 4 3 3" xfId="43" xr:uid="{00000000-0005-0000-0000-000007000000}"/>
    <cellStyle name="Normal 5" xfId="6" xr:uid="{00000000-0005-0000-0000-00000E000000}"/>
    <cellStyle name="Normal 5 2" xfId="26" xr:uid="{00000000-0005-0000-0000-00000F000000}"/>
    <cellStyle name="Normal 5 2 2" xfId="35" xr:uid="{00000000-0005-0000-0000-000010000000}"/>
    <cellStyle name="Normal 6" xfId="11" xr:uid="{00000000-0005-0000-0000-000011000000}"/>
    <cellStyle name="Normal 6 2" xfId="17" xr:uid="{00000000-0005-0000-0000-000012000000}"/>
    <cellStyle name="Normal 6 2 2" xfId="32" xr:uid="{00000000-0005-0000-0000-000013000000}"/>
    <cellStyle name="Normal 6 2 2 2" xfId="51" xr:uid="{07CB6007-665C-4B34-A08E-5544A157A1B5}"/>
    <cellStyle name="Normal 6 2 3" xfId="45" xr:uid="{00000000-0005-0000-0000-000009000000}"/>
    <cellStyle name="Normal 7" xfId="27" xr:uid="{00000000-0005-0000-0000-000014000000}"/>
    <cellStyle name="Normal 7 2" xfId="29" xr:uid="{00000000-0005-0000-0000-000015000000}"/>
    <cellStyle name="Normal 7 3" xfId="34" xr:uid="{00000000-0005-0000-0000-000016000000}"/>
    <cellStyle name="Normal 7 4" xfId="48" xr:uid="{00000000-0005-0000-0000-00000A000000}"/>
    <cellStyle name="Normal_Pesquisa no referencial 10 de maio de 2013" xfId="37" xr:uid="{BB3C0FF9-E896-4550-BBD1-B1D88A09F450}"/>
    <cellStyle name="Porcentagem" xfId="22" builtinId="5"/>
    <cellStyle name="Porcentagem 2" xfId="7" xr:uid="{00000000-0005-0000-0000-000018000000}"/>
    <cellStyle name="Porcentagem 2 2" xfId="24" xr:uid="{00000000-0005-0000-0000-000019000000}"/>
    <cellStyle name="Separador de milhares 2" xfId="8" xr:uid="{00000000-0005-0000-0000-00001A000000}"/>
    <cellStyle name="Separador de milhares 2 2 2" xfId="23" xr:uid="{00000000-0005-0000-0000-00001B000000}"/>
    <cellStyle name="Separador de milhares 3" xfId="12" xr:uid="{00000000-0005-0000-0000-00001C000000}"/>
    <cellStyle name="Separador de milhares 3 2" xfId="18" xr:uid="{00000000-0005-0000-0000-00001D000000}"/>
    <cellStyle name="Separador de milhares 3 2 2" xfId="33" xr:uid="{00000000-0005-0000-0000-00001E000000}"/>
    <cellStyle name="Separador de milhares 3 2 2 2" xfId="52" xr:uid="{23F64E8E-B46D-4B77-B6BF-AE4BE452F2DF}"/>
    <cellStyle name="Separador de milhares 3 2 3" xfId="46" xr:uid="{00000000-0005-0000-0000-00000D000000}"/>
    <cellStyle name="Vírgula" xfId="1" builtinId="3"/>
    <cellStyle name="Vírgula 2" xfId="13" xr:uid="{00000000-0005-0000-0000-000020000000}"/>
    <cellStyle name="Vírgula 2 2" xfId="47" xr:uid="{00000000-0005-0000-0000-000010000000}"/>
    <cellStyle name="Vírgula 2 3" xfId="41" xr:uid="{00000000-0005-0000-0000-00000F000000}"/>
    <cellStyle name="Vírgula 3" xfId="25" xr:uid="{00000000-0005-0000-0000-000021000000}"/>
    <cellStyle name="Vírgula 3 2" xfId="42" xr:uid="{00000000-0005-0000-0000-000011000000}"/>
    <cellStyle name="Vírgula 4" xfId="40" xr:uid="{00000000-0005-0000-0000-00005E000000}"/>
    <cellStyle name="Vírgula 5" xfId="28" xr:uid="{00000000-0005-0000-0000-000022000000}"/>
    <cellStyle name="Vírgula 5 2" xfId="36" xr:uid="{00000000-0005-0000-0000-000023000000}"/>
    <cellStyle name="Vírgula 7" xfId="20" xr:uid="{00000000-0005-0000-0000-000024000000}"/>
    <cellStyle name="Vírgula 7 2" xfId="53" xr:uid="{36365826-F8DD-4DCC-A14D-D4A653451AF1}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droPaulo\AppData\Local\Microsoft\Windows\Temporary%20Internet%20Files\Content.Outlook\B80SIZG9\CORT-%20SES%20TCPAC%200526-08%20-%20PLANILHAS%20E%20CARACTERISTICAS%20-%2011%2001%2012%20(APROVADO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droPaulo\Documents\0%20-%202013\1%20-%20PAC2%20-%20FELIPPO%20-%20SES%20-%20PROJETOS\SALO&#193;%20-%20SES%20-%20PLANILHAS%20PAC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UNASA%20-%20PROJETOS%20PAC2%20-2013%20-%20APROVADOS\SALO&#193;%20-%20SES\SALO&#193;-SES-PAC2-PLANILHAS%20-%20ONERADO%20-%2026.08%20-%20PP.REV.P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aulo-augusto\c\Users\PedroPaulo\AppData\Local\Microsoft\Windows\Temporary%20Internet%20Files\Content.Outlook\4MEOX23X\CORT-%20SES%20TCPAC%200526-08%20-%20PLANILHAS%20E%20CARACTERISTICAS%20-%2011%2001%2012%20(APROVADOS)-29%2003%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DRO%20PAULO%20%20I7\Documents\1%20-%202009\CORTES2009\CORT&#202;S%20-%20SES\CORTES%20-%20SES%20-%20PAC2%20%20-%20PLANILHA%20E%20CARACTER&#205;TICAS%2023.01.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gusta\Atp\Documents%20and%20Settings\Renato\Desktop\Pre&#231;os%20Revisados-OAE-SEPLANE-(25-11-04)-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ra&#231;&#227;odejesus/Desktop/Meus%20projetos/PREF.%20CANHOTINHO/UBS%20S&#195;O%20SEBASTI&#195;O/UBS%20S&#195;O%20SEBASTI&#195;O%202/UBS%20S&#195;O%20SEBASTI&#195;O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cteristicas 1"/>
      <sheetName val="Caracteristicas 2"/>
      <sheetName val="QuantitativosGERAL"/>
      <sheetName val="EEE"/>
      <sheetName val="ETE"/>
      <sheetName val="Rede GERAL"/>
      <sheetName val="RES ETP 1"/>
      <sheetName val="CRONO"/>
      <sheetName val="DISSIPADOR"/>
      <sheetName val="mem.calc.quant.dissipador"/>
      <sheetName val="EMISSÁRIO"/>
    </sheetNames>
    <sheetDataSet>
      <sheetData sheetId="0">
        <row r="6">
          <cell r="C6" t="str">
            <v>Local: Cortês - PE</v>
          </cell>
        </row>
      </sheetData>
      <sheetData sheetId="1">
        <row r="6">
          <cell r="C6" t="str">
            <v>CARACTERÍSTICAS DA REDE COLETORA - 1ª ETAPA</v>
          </cell>
        </row>
      </sheetData>
      <sheetData sheetId="2">
        <row r="6">
          <cell r="C6" t="str">
            <v>QUANTITATIVOS DE SERVIÇOS DA REDE COLETORA- 1ª ETAPA</v>
          </cell>
        </row>
      </sheetData>
      <sheetData sheetId="3">
        <row r="8">
          <cell r="C8" t="str">
            <v xml:space="preserve"> DESCRIÇÃO DOS SERVIÇOS</v>
          </cell>
        </row>
      </sheetData>
      <sheetData sheetId="4">
        <row r="9">
          <cell r="C9" t="str">
            <v xml:space="preserve"> DESCRIÇÃO DOS SERVIÇOS</v>
          </cell>
        </row>
      </sheetData>
      <sheetData sheetId="5">
        <row r="9">
          <cell r="C9" t="str">
            <v xml:space="preserve"> DESCRIÇÃO DOS SERVIÇOS</v>
          </cell>
        </row>
      </sheetData>
      <sheetData sheetId="6">
        <row r="7">
          <cell r="C7" t="str">
            <v>Ud</v>
          </cell>
        </row>
      </sheetData>
      <sheetData sheetId="7">
        <row r="7">
          <cell r="C7" t="str">
            <v>SERVIÇOS PRELIMINARES</v>
          </cell>
        </row>
      </sheetData>
      <sheetData sheetId="8">
        <row r="10">
          <cell r="C10" t="str">
            <v>DESCRIÇÃO</v>
          </cell>
        </row>
      </sheetData>
      <sheetData sheetId="9">
        <row r="14">
          <cell r="D14">
            <v>34.03</v>
          </cell>
        </row>
      </sheetData>
      <sheetData sheetId="10">
        <row r="9">
          <cell r="C9" t="str">
            <v>DESCRIÇÃO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OrçamentoPP"/>
      <sheetName val="DISSIPADOR"/>
      <sheetName val="EMISSÁRIO"/>
      <sheetName val="ADMINISTRAÇÃO"/>
      <sheetName val="Dados de projeto"/>
      <sheetName val="PLANILHA DE CÁLCULO"/>
      <sheetName val="Caracteristicas 1"/>
      <sheetName val="Caracteristicas 2"/>
      <sheetName val="Quantitativos"/>
      <sheetName val="Orçamen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ção"/>
      <sheetName val="RESUMO"/>
      <sheetName val="CRONOGRAMA"/>
      <sheetName val="ADMNISTRAÇÃO"/>
      <sheetName val="TRAT. PRELIMINAR- PLAN"/>
      <sheetName val="TRATAM.PRELIMINAR- MEM"/>
      <sheetName val="ETE"/>
      <sheetName val="MEMO ETE"/>
      <sheetName val="MEMO ETE-CAIXAS"/>
      <sheetName val="EMISSÁRIO"/>
      <sheetName val="MEMO EMIS"/>
      <sheetName val="DISSIPADOR"/>
      <sheetName val="MEMO. DISSIPADOR"/>
      <sheetName val="REDE"/>
      <sheetName val="MEMO REDE"/>
      <sheetName val="LIG.INTRA - PLAN"/>
      <sheetName val="LIG.INTRA - MEM"/>
      <sheetName val="REDE2"/>
      <sheetName val="MEMO REDE2"/>
      <sheetName val="memo dissipador"/>
      <sheetName val="Dados de projeto"/>
      <sheetName val="PLANILHA DE CÁLCULO"/>
      <sheetName val="Caracteristicas 1"/>
      <sheetName val="Caracteristicas 2"/>
      <sheetName val="Quantitativos"/>
      <sheetName val="Orçamento"/>
      <sheetName val="PLANILHA I"/>
      <sheetName val="BDI "/>
      <sheetName val="ENCARGOS"/>
      <sheetName val="CPU"/>
      <sheetName val="CFF"/>
      <sheetName val="COTAÇÃO DE PREÇO"/>
      <sheetName val="REP 01"/>
      <sheetName val="MC REP 01"/>
      <sheetName val="COMPOSIÇÃO"/>
      <sheetName val="FATOR K"/>
      <sheetName val="CP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cteristicas 1"/>
      <sheetName val="Caracteristicas 2"/>
      <sheetName val="QuantitativosGERAL"/>
      <sheetName val="EEE"/>
      <sheetName val="RES ETP 1"/>
      <sheetName val="Rede GERAL"/>
      <sheetName val="ETE"/>
      <sheetName val="EMISSÁRIO"/>
      <sheetName val="DISSIPADOR"/>
      <sheetName val="mem.calc.quant.dissipador"/>
      <sheetName val="CRONO"/>
      <sheetName val="REP 01"/>
      <sheetName val="MC REP 01"/>
      <sheetName val="BDI "/>
      <sheetName val="ENCARGOS"/>
      <sheetName val="CPU"/>
      <sheetName val="CFF"/>
      <sheetName val="COTAÇÃO DE PREÇO"/>
      <sheetName val="COMPOSIÇÃO"/>
      <sheetName val="FATOR K"/>
      <sheetName val="CP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cteristicas 1"/>
      <sheetName val="Caracteristicas 2"/>
      <sheetName val="QuantitativosGERAL"/>
      <sheetName val="EEE"/>
      <sheetName val="ETE"/>
      <sheetName val="Rede GERAL"/>
      <sheetName val="2 Etapa"/>
      <sheetName val="administração"/>
      <sheetName val="CRON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">
          <cell r="E14">
            <v>106527.7</v>
          </cell>
        </row>
      </sheetData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OAE"/>
      <sheetName val="OAE"/>
      <sheetName val="NOVAS "/>
      <sheetName val="RESTAURAÇÃO "/>
      <sheetName val="Transp"/>
      <sheetName val="F.Transporte (2)"/>
      <sheetName val="F.Transporte"/>
      <sheetName val="REP 01"/>
      <sheetName val="MC REP 01"/>
      <sheetName val="COMPOSIÇÃO"/>
      <sheetName val="FATOR K"/>
      <sheetName val="BDI "/>
      <sheetName val="ENCARGOS"/>
      <sheetName val="CPUs"/>
      <sheetName val="CFF"/>
      <sheetName val="CPU"/>
      <sheetName val="COTAÇÃO DE PREÇ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/>
      <sheetData sheetId="13" refreshError="1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MC"/>
      <sheetName val="Cronograma"/>
      <sheetName val="BDI"/>
      <sheetName val="Base de Preço"/>
      <sheetName val="C-01"/>
      <sheetName val="C-02"/>
    </sheetNames>
    <sheetDataSet>
      <sheetData sheetId="0">
        <row r="4">
          <cell r="A4" t="str">
            <v>OBRA:</v>
          </cell>
        </row>
        <row r="5">
          <cell r="A5" t="str">
            <v>LOCAL: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/>
  <dimension ref="A1:K110"/>
  <sheetViews>
    <sheetView showGridLines="0" tabSelected="1" topLeftCell="A58" zoomScaleNormal="100" zoomScaleSheetLayoutView="70" workbookViewId="0">
      <selection activeCell="B64" sqref="B64"/>
    </sheetView>
  </sheetViews>
  <sheetFormatPr defaultColWidth="11.453125" defaultRowHeight="12.5" x14ac:dyDescent="0.25"/>
  <cols>
    <col min="1" max="1" width="5.7265625" style="2" customWidth="1"/>
    <col min="2" max="3" width="10.7265625" style="245" customWidth="1"/>
    <col min="4" max="4" width="42.7265625" style="28" customWidth="1"/>
    <col min="5" max="5" width="5.7265625" style="4" customWidth="1"/>
    <col min="6" max="8" width="10.7265625" style="29" customWidth="1"/>
    <col min="9" max="9" width="12.7265625" style="29" customWidth="1"/>
  </cols>
  <sheetData>
    <row r="1" spans="1:11" ht="15.75" customHeight="1" x14ac:dyDescent="0.35">
      <c r="A1" s="262" t="s">
        <v>0</v>
      </c>
      <c r="B1" s="263"/>
      <c r="C1" s="263"/>
      <c r="D1" s="263"/>
      <c r="E1" s="263"/>
      <c r="F1" s="263"/>
      <c r="G1" s="263"/>
      <c r="H1" s="263"/>
      <c r="I1" s="263"/>
    </row>
    <row r="2" spans="1:11" ht="15.5" x14ac:dyDescent="0.25">
      <c r="A2" s="272"/>
      <c r="B2" s="273"/>
      <c r="C2" s="273"/>
      <c r="D2" s="273"/>
      <c r="E2" s="273"/>
      <c r="F2" s="273"/>
      <c r="G2" s="273"/>
      <c r="H2" s="273"/>
      <c r="I2" s="274"/>
    </row>
    <row r="3" spans="1:11" ht="15.75" customHeight="1" x14ac:dyDescent="0.35">
      <c r="A3" s="281" t="s">
        <v>1</v>
      </c>
      <c r="B3" s="282"/>
      <c r="C3" s="282"/>
      <c r="D3" s="282"/>
      <c r="E3" s="282"/>
      <c r="F3" s="282"/>
      <c r="G3" s="282"/>
      <c r="H3" s="282"/>
      <c r="I3" s="283"/>
    </row>
    <row r="4" spans="1:11" ht="12.75" customHeight="1" x14ac:dyDescent="0.25">
      <c r="A4" s="275"/>
      <c r="B4" s="276"/>
      <c r="C4" s="276"/>
      <c r="D4" s="276"/>
      <c r="E4" s="276"/>
      <c r="F4" s="276"/>
      <c r="G4" s="276"/>
      <c r="H4" s="276"/>
      <c r="I4" s="277"/>
    </row>
    <row r="5" spans="1:11" x14ac:dyDescent="0.25">
      <c r="A5" s="278"/>
      <c r="B5" s="279"/>
      <c r="C5" s="279"/>
      <c r="D5" s="279"/>
      <c r="E5" s="279"/>
      <c r="F5" s="279"/>
      <c r="G5" s="279"/>
      <c r="H5" s="279"/>
      <c r="I5" s="280"/>
    </row>
    <row r="6" spans="1:11" s="237" customFormat="1" ht="12.75" customHeight="1" x14ac:dyDescent="0.25">
      <c r="A6" s="236" t="s">
        <v>2</v>
      </c>
      <c r="B6" s="256" t="s">
        <v>3</v>
      </c>
      <c r="C6" s="256"/>
      <c r="D6" s="256"/>
      <c r="E6" s="256"/>
      <c r="F6" s="256"/>
      <c r="G6" s="257" t="s">
        <v>4</v>
      </c>
      <c r="H6" s="257"/>
      <c r="I6" s="257"/>
    </row>
    <row r="7" spans="1:11" s="237" customFormat="1" ht="12.75" customHeight="1" x14ac:dyDescent="0.25">
      <c r="A7" s="236" t="s">
        <v>5</v>
      </c>
      <c r="B7" s="256" t="s">
        <v>6</v>
      </c>
      <c r="C7" s="256"/>
      <c r="D7" s="256"/>
      <c r="E7" s="256"/>
      <c r="F7" s="256"/>
      <c r="G7" s="257" t="s">
        <v>7</v>
      </c>
      <c r="H7" s="257"/>
      <c r="I7" s="257"/>
    </row>
    <row r="8" spans="1:11" ht="13" x14ac:dyDescent="0.3">
      <c r="A8" s="269"/>
      <c r="B8" s="270"/>
      <c r="C8" s="270"/>
      <c r="D8" s="270"/>
      <c r="E8" s="270"/>
      <c r="F8" s="270"/>
      <c r="G8" s="270"/>
      <c r="H8" s="270"/>
      <c r="I8" s="271"/>
    </row>
    <row r="9" spans="1:11" ht="12.75" customHeight="1" x14ac:dyDescent="0.3">
      <c r="A9" s="264" t="s">
        <v>8</v>
      </c>
      <c r="B9" s="284" t="s">
        <v>9</v>
      </c>
      <c r="C9" s="285"/>
      <c r="D9" s="265" t="s">
        <v>10</v>
      </c>
      <c r="E9" s="265" t="s">
        <v>11</v>
      </c>
      <c r="F9" s="266" t="s">
        <v>12</v>
      </c>
      <c r="G9" s="267" t="s">
        <v>13</v>
      </c>
      <c r="H9" s="267"/>
      <c r="I9" s="268" t="s">
        <v>14</v>
      </c>
    </row>
    <row r="10" spans="1:11" ht="13" x14ac:dyDescent="0.3">
      <c r="A10" s="264"/>
      <c r="B10" s="255" t="s">
        <v>15</v>
      </c>
      <c r="C10" s="255" t="s">
        <v>16</v>
      </c>
      <c r="D10" s="265"/>
      <c r="E10" s="265"/>
      <c r="F10" s="266"/>
      <c r="G10" s="230" t="s">
        <v>17</v>
      </c>
      <c r="H10" s="231" t="s">
        <v>18</v>
      </c>
      <c r="I10" s="268"/>
    </row>
    <row r="11" spans="1:11" ht="13" x14ac:dyDescent="0.3">
      <c r="A11" s="115" t="s">
        <v>19</v>
      </c>
      <c r="B11" s="203"/>
      <c r="C11" s="228"/>
      <c r="D11" s="204" t="s">
        <v>20</v>
      </c>
      <c r="E11" s="205"/>
      <c r="F11" s="206"/>
      <c r="G11" s="210"/>
      <c r="H11" s="211"/>
      <c r="I11" s="116">
        <f>SUM(I12:I16)</f>
        <v>63535.109999999993</v>
      </c>
    </row>
    <row r="12" spans="1:11" ht="39" x14ac:dyDescent="0.3">
      <c r="A12" s="117" t="s">
        <v>21</v>
      </c>
      <c r="B12" s="238" t="s">
        <v>22</v>
      </c>
      <c r="C12" s="239" t="s">
        <v>23</v>
      </c>
      <c r="D12" s="118" t="s">
        <v>24</v>
      </c>
      <c r="E12" s="119" t="s">
        <v>25</v>
      </c>
      <c r="F12" s="120">
        <f>MC!G14</f>
        <v>6</v>
      </c>
      <c r="G12" s="121">
        <v>225</v>
      </c>
      <c r="H12" s="120">
        <f>TRUNC(G12*1.24,2)</f>
        <v>279</v>
      </c>
      <c r="I12" s="120">
        <f>TRUNC(H12*F12,2)</f>
        <v>1674</v>
      </c>
    </row>
    <row r="13" spans="1:11" ht="26" x14ac:dyDescent="0.3">
      <c r="A13" s="117" t="s">
        <v>26</v>
      </c>
      <c r="B13" s="238" t="s">
        <v>27</v>
      </c>
      <c r="C13" s="239" t="s">
        <v>28</v>
      </c>
      <c r="D13" s="118" t="s">
        <v>29</v>
      </c>
      <c r="E13" s="119" t="s">
        <v>25</v>
      </c>
      <c r="F13" s="120">
        <f>MC!G19</f>
        <v>20</v>
      </c>
      <c r="G13" s="121">
        <v>224.97</v>
      </c>
      <c r="H13" s="120">
        <f t="shared" ref="H13:H19" si="0">TRUNC(G13*1.24,2)</f>
        <v>278.95999999999998</v>
      </c>
      <c r="I13" s="120">
        <f t="shared" ref="I13:I16" si="1">TRUNC(H13*F13,2)</f>
        <v>5579.2</v>
      </c>
    </row>
    <row r="14" spans="1:11" ht="26" x14ac:dyDescent="0.3">
      <c r="A14" s="117" t="s">
        <v>30</v>
      </c>
      <c r="B14" s="239">
        <v>98459</v>
      </c>
      <c r="C14" s="239" t="s">
        <v>31</v>
      </c>
      <c r="D14" s="118" t="s">
        <v>32</v>
      </c>
      <c r="E14" s="119" t="s">
        <v>25</v>
      </c>
      <c r="F14" s="120">
        <f>MC!G24</f>
        <v>151.6</v>
      </c>
      <c r="G14" s="121">
        <v>83.19</v>
      </c>
      <c r="H14" s="120">
        <f t="shared" si="0"/>
        <v>103.15</v>
      </c>
      <c r="I14" s="120">
        <f t="shared" si="1"/>
        <v>15637.54</v>
      </c>
    </row>
    <row r="15" spans="1:11" ht="26" x14ac:dyDescent="0.3">
      <c r="A15" s="117" t="s">
        <v>33</v>
      </c>
      <c r="B15" s="239">
        <v>98524</v>
      </c>
      <c r="C15" s="239" t="s">
        <v>31</v>
      </c>
      <c r="D15" s="118" t="s">
        <v>34</v>
      </c>
      <c r="E15" s="119" t="s">
        <v>25</v>
      </c>
      <c r="F15" s="120">
        <f>MC!G29</f>
        <v>13059.57</v>
      </c>
      <c r="G15" s="121">
        <v>2.4500000000000002</v>
      </c>
      <c r="H15" s="120">
        <f t="shared" si="0"/>
        <v>3.03</v>
      </c>
      <c r="I15" s="120">
        <f t="shared" si="1"/>
        <v>39570.49</v>
      </c>
    </row>
    <row r="16" spans="1:11" ht="26" x14ac:dyDescent="0.3">
      <c r="A16" s="117" t="s">
        <v>35</v>
      </c>
      <c r="B16" s="238" t="s">
        <v>36</v>
      </c>
      <c r="C16" s="239" t="s">
        <v>37</v>
      </c>
      <c r="D16" s="118" t="s">
        <v>38</v>
      </c>
      <c r="E16" s="119" t="s">
        <v>39</v>
      </c>
      <c r="F16" s="120">
        <f>MC!G36</f>
        <v>61.47</v>
      </c>
      <c r="G16" s="121">
        <v>14.09</v>
      </c>
      <c r="H16" s="120">
        <f t="shared" si="0"/>
        <v>17.47</v>
      </c>
      <c r="I16" s="120">
        <f t="shared" si="1"/>
        <v>1073.8800000000001</v>
      </c>
      <c r="K16">
        <v>1735.58</v>
      </c>
    </row>
    <row r="17" spans="1:9" ht="13" x14ac:dyDescent="0.3">
      <c r="A17" s="115" t="s">
        <v>40</v>
      </c>
      <c r="B17" s="203"/>
      <c r="C17" s="228"/>
      <c r="D17" s="204" t="s">
        <v>41</v>
      </c>
      <c r="E17" s="205"/>
      <c r="F17" s="206"/>
      <c r="G17" s="210"/>
      <c r="H17" s="211"/>
      <c r="I17" s="116">
        <f>SUM(I19:I28)</f>
        <v>51197.689999999995</v>
      </c>
    </row>
    <row r="18" spans="1:9" ht="13" x14ac:dyDescent="0.3">
      <c r="A18" s="190" t="s">
        <v>42</v>
      </c>
      <c r="B18" s="240"/>
      <c r="C18" s="241"/>
      <c r="D18" s="207" t="s">
        <v>43</v>
      </c>
      <c r="E18" s="208"/>
      <c r="F18" s="209"/>
      <c r="G18" s="232"/>
      <c r="H18" s="233"/>
      <c r="I18" s="196"/>
    </row>
    <row r="19" spans="1:9" ht="26" x14ac:dyDescent="0.3">
      <c r="A19" s="117" t="s">
        <v>44</v>
      </c>
      <c r="B19" s="242" t="s">
        <v>45</v>
      </c>
      <c r="C19" s="239" t="s">
        <v>28</v>
      </c>
      <c r="D19" s="123" t="s">
        <v>46</v>
      </c>
      <c r="E19" s="119" t="s">
        <v>25</v>
      </c>
      <c r="F19" s="125">
        <f>MC!G46</f>
        <v>787.72</v>
      </c>
      <c r="G19" s="125">
        <v>15.81</v>
      </c>
      <c r="H19" s="120">
        <f t="shared" si="0"/>
        <v>19.600000000000001</v>
      </c>
      <c r="I19" s="120">
        <f t="shared" ref="I19" si="2">TRUNC(H19*F19,2)</f>
        <v>15439.31</v>
      </c>
    </row>
    <row r="20" spans="1:9" ht="26" x14ac:dyDescent="0.3">
      <c r="A20" s="117" t="s">
        <v>47</v>
      </c>
      <c r="B20" s="242" t="s">
        <v>48</v>
      </c>
      <c r="C20" s="239" t="s">
        <v>28</v>
      </c>
      <c r="D20" s="123" t="s">
        <v>49</v>
      </c>
      <c r="E20" s="119" t="s">
        <v>50</v>
      </c>
      <c r="F20" s="125">
        <f>MC!G51</f>
        <v>1140</v>
      </c>
      <c r="G20" s="125">
        <v>7.92</v>
      </c>
      <c r="H20" s="120">
        <f t="shared" ref="H20:H23" si="3">TRUNC(G20*1.24,2)</f>
        <v>9.82</v>
      </c>
      <c r="I20" s="120">
        <f t="shared" ref="I20:I23" si="4">TRUNC(H20*F20,2)</f>
        <v>11194.8</v>
      </c>
    </row>
    <row r="21" spans="1:9" ht="13" x14ac:dyDescent="0.3">
      <c r="A21" s="190" t="s">
        <v>51</v>
      </c>
      <c r="B21" s="240"/>
      <c r="C21" s="241"/>
      <c r="D21" s="207" t="s">
        <v>52</v>
      </c>
      <c r="E21" s="208"/>
      <c r="F21" s="209"/>
      <c r="G21" s="232"/>
      <c r="H21" s="233"/>
      <c r="I21" s="196"/>
    </row>
    <row r="22" spans="1:9" ht="39" x14ac:dyDescent="0.3">
      <c r="A22" s="117" t="s">
        <v>53</v>
      </c>
      <c r="B22" s="243">
        <v>97622</v>
      </c>
      <c r="C22" s="239" t="s">
        <v>31</v>
      </c>
      <c r="D22" s="123" t="s">
        <v>54</v>
      </c>
      <c r="E22" s="119" t="s">
        <v>39</v>
      </c>
      <c r="F22" s="125">
        <f>MC!G57</f>
        <v>17.059999999999999</v>
      </c>
      <c r="G22" s="125">
        <v>40.53</v>
      </c>
      <c r="H22" s="120">
        <f t="shared" si="3"/>
        <v>50.25</v>
      </c>
      <c r="I22" s="120">
        <f t="shared" si="4"/>
        <v>857.26</v>
      </c>
    </row>
    <row r="23" spans="1:9" ht="39" x14ac:dyDescent="0.3">
      <c r="A23" s="117" t="s">
        <v>55</v>
      </c>
      <c r="B23" s="243">
        <v>97626</v>
      </c>
      <c r="C23" s="239" t="s">
        <v>31</v>
      </c>
      <c r="D23" s="123" t="s">
        <v>56</v>
      </c>
      <c r="E23" s="119" t="s">
        <v>39</v>
      </c>
      <c r="F23" s="125">
        <f>MC!G63</f>
        <v>5.0200000000000005</v>
      </c>
      <c r="G23" s="125">
        <v>442.76</v>
      </c>
      <c r="H23" s="120">
        <f t="shared" si="3"/>
        <v>549.02</v>
      </c>
      <c r="I23" s="120">
        <f t="shared" si="4"/>
        <v>2756.08</v>
      </c>
    </row>
    <row r="24" spans="1:9" ht="13" x14ac:dyDescent="0.3">
      <c r="A24" s="190" t="s">
        <v>57</v>
      </c>
      <c r="B24" s="240"/>
      <c r="C24" s="241"/>
      <c r="D24" s="207" t="s">
        <v>58</v>
      </c>
      <c r="E24" s="208"/>
      <c r="F24" s="209"/>
      <c r="G24" s="232"/>
      <c r="H24" s="233"/>
      <c r="I24" s="196"/>
    </row>
    <row r="25" spans="1:9" ht="26" x14ac:dyDescent="0.3">
      <c r="A25" s="117" t="s">
        <v>59</v>
      </c>
      <c r="B25" s="243" t="s">
        <v>60</v>
      </c>
      <c r="C25" s="239" t="s">
        <v>61</v>
      </c>
      <c r="D25" s="123" t="s">
        <v>62</v>
      </c>
      <c r="E25" s="119" t="s">
        <v>25</v>
      </c>
      <c r="F25" s="125">
        <f>MC!G70</f>
        <v>445.40000000000003</v>
      </c>
      <c r="G25" s="125">
        <v>7.26</v>
      </c>
      <c r="H25" s="120">
        <f t="shared" ref="H25:H28" si="5">TRUNC(G25*1.24,2)</f>
        <v>9</v>
      </c>
      <c r="I25" s="120">
        <f t="shared" ref="I25:I28" si="6">TRUNC(H25*F25,2)</f>
        <v>4008.6</v>
      </c>
    </row>
    <row r="26" spans="1:9" ht="13" x14ac:dyDescent="0.3">
      <c r="A26" s="190" t="s">
        <v>63</v>
      </c>
      <c r="B26" s="240"/>
      <c r="C26" s="241"/>
      <c r="D26" s="207" t="s">
        <v>64</v>
      </c>
      <c r="E26" s="208"/>
      <c r="F26" s="209"/>
      <c r="G26" s="232"/>
      <c r="H26" s="233"/>
      <c r="I26" s="196"/>
    </row>
    <row r="27" spans="1:9" ht="26" x14ac:dyDescent="0.3">
      <c r="A27" s="117" t="s">
        <v>65</v>
      </c>
      <c r="B27" s="242" t="s">
        <v>66</v>
      </c>
      <c r="C27" s="239" t="s">
        <v>28</v>
      </c>
      <c r="D27" s="123" t="s">
        <v>67</v>
      </c>
      <c r="E27" s="234" t="s">
        <v>68</v>
      </c>
      <c r="F27" s="125">
        <f>MC!G76</f>
        <v>930.86</v>
      </c>
      <c r="G27" s="125">
        <v>7.3</v>
      </c>
      <c r="H27" s="120">
        <f t="shared" si="5"/>
        <v>9.0500000000000007</v>
      </c>
      <c r="I27" s="120">
        <f t="shared" si="6"/>
        <v>8424.2800000000007</v>
      </c>
    </row>
    <row r="28" spans="1:9" ht="27.65" customHeight="1" x14ac:dyDescent="0.3">
      <c r="A28" s="117" t="s">
        <v>69</v>
      </c>
      <c r="B28" s="242" t="s">
        <v>70</v>
      </c>
      <c r="C28" s="239" t="s">
        <v>28</v>
      </c>
      <c r="D28" s="123" t="s">
        <v>71</v>
      </c>
      <c r="E28" s="119" t="s">
        <v>25</v>
      </c>
      <c r="F28" s="125">
        <f>MC!G81</f>
        <v>930.86</v>
      </c>
      <c r="G28" s="125">
        <v>7.38</v>
      </c>
      <c r="H28" s="120">
        <f t="shared" si="5"/>
        <v>9.15</v>
      </c>
      <c r="I28" s="120">
        <f t="shared" si="6"/>
        <v>8517.36</v>
      </c>
    </row>
    <row r="29" spans="1:9" ht="13" x14ac:dyDescent="0.3">
      <c r="A29" s="115" t="s">
        <v>72</v>
      </c>
      <c r="B29" s="203"/>
      <c r="C29" s="228"/>
      <c r="D29" s="204" t="s">
        <v>73</v>
      </c>
      <c r="E29" s="205"/>
      <c r="F29" s="206"/>
      <c r="G29" s="210"/>
      <c r="H29" s="211"/>
      <c r="I29" s="116">
        <f>SUM(I31:I43)</f>
        <v>103361.64</v>
      </c>
    </row>
    <row r="30" spans="1:9" ht="13" x14ac:dyDescent="0.3">
      <c r="A30" s="190" t="s">
        <v>74</v>
      </c>
      <c r="B30" s="240"/>
      <c r="C30" s="241"/>
      <c r="D30" s="191" t="s">
        <v>75</v>
      </c>
      <c r="E30" s="192"/>
      <c r="F30" s="193"/>
      <c r="G30" s="194"/>
      <c r="H30" s="195"/>
      <c r="I30" s="196"/>
    </row>
    <row r="31" spans="1:9" ht="26" x14ac:dyDescent="0.3">
      <c r="A31" s="117" t="s">
        <v>76</v>
      </c>
      <c r="B31" s="243" t="s">
        <v>77</v>
      </c>
      <c r="C31" s="239" t="s">
        <v>28</v>
      </c>
      <c r="D31" s="118" t="s">
        <v>78</v>
      </c>
      <c r="E31" s="119" t="s">
        <v>25</v>
      </c>
      <c r="F31" s="120">
        <f>MC!G88</f>
        <v>13059.57</v>
      </c>
      <c r="G31" s="120">
        <v>0.69</v>
      </c>
      <c r="H31" s="120">
        <f t="shared" ref="H31" si="7">TRUNC(G31*1.24,2)</f>
        <v>0.85</v>
      </c>
      <c r="I31" s="120">
        <f t="shared" ref="I31" si="8">TRUNC(H31*F31,2)</f>
        <v>11100.63</v>
      </c>
    </row>
    <row r="32" spans="1:9" ht="13" x14ac:dyDescent="0.3">
      <c r="A32" s="190" t="s">
        <v>79</v>
      </c>
      <c r="B32" s="240"/>
      <c r="C32" s="241"/>
      <c r="D32" s="191" t="s">
        <v>80</v>
      </c>
      <c r="E32" s="192"/>
      <c r="F32" s="193"/>
      <c r="G32" s="194"/>
      <c r="H32" s="195"/>
      <c r="I32" s="196"/>
    </row>
    <row r="33" spans="1:10" ht="65" x14ac:dyDescent="0.3">
      <c r="A33" s="117" t="s">
        <v>81</v>
      </c>
      <c r="B33" s="243">
        <v>92214</v>
      </c>
      <c r="C33" s="239" t="s">
        <v>31</v>
      </c>
      <c r="D33" s="118" t="s">
        <v>82</v>
      </c>
      <c r="E33" s="119" t="s">
        <v>50</v>
      </c>
      <c r="F33" s="120">
        <f>MC!G94</f>
        <v>46.8</v>
      </c>
      <c r="G33" s="120">
        <v>372.87</v>
      </c>
      <c r="H33" s="120">
        <f t="shared" ref="H33:H43" si="9">TRUNC(G33*1.24,2)</f>
        <v>462.35</v>
      </c>
      <c r="I33" s="120">
        <f t="shared" ref="I33" si="10">TRUNC(H33*F33,2)</f>
        <v>21637.98</v>
      </c>
    </row>
    <row r="34" spans="1:10" ht="13" x14ac:dyDescent="0.3">
      <c r="A34" s="190" t="s">
        <v>83</v>
      </c>
      <c r="B34" s="240"/>
      <c r="C34" s="241"/>
      <c r="D34" s="191" t="s">
        <v>84</v>
      </c>
      <c r="E34" s="192"/>
      <c r="F34" s="193"/>
      <c r="G34" s="194"/>
      <c r="H34" s="195"/>
      <c r="I34" s="196"/>
    </row>
    <row r="35" spans="1:10" ht="27.65" customHeight="1" x14ac:dyDescent="0.3">
      <c r="A35" s="117" t="s">
        <v>85</v>
      </c>
      <c r="B35" s="243">
        <v>96527</v>
      </c>
      <c r="C35" s="239" t="s">
        <v>31</v>
      </c>
      <c r="D35" s="118" t="s">
        <v>86</v>
      </c>
      <c r="E35" s="119" t="s">
        <v>39</v>
      </c>
      <c r="F35" s="120">
        <f>MC!G104</f>
        <v>42.7</v>
      </c>
      <c r="G35" s="120">
        <v>92.6</v>
      </c>
      <c r="H35" s="120">
        <f t="shared" si="9"/>
        <v>114.82</v>
      </c>
      <c r="I35" s="120">
        <f t="shared" ref="I35:I43" si="11">TRUNC(H35*F35,2)</f>
        <v>4902.8100000000004</v>
      </c>
    </row>
    <row r="36" spans="1:10" ht="27.65" customHeight="1" x14ac:dyDescent="0.3">
      <c r="A36" s="117" t="s">
        <v>87</v>
      </c>
      <c r="B36" s="243">
        <v>101616</v>
      </c>
      <c r="C36" s="239" t="s">
        <v>31</v>
      </c>
      <c r="D36" s="118" t="s">
        <v>88</v>
      </c>
      <c r="E36" s="119" t="s">
        <v>25</v>
      </c>
      <c r="F36" s="120">
        <f>MC!G113</f>
        <v>121.98</v>
      </c>
      <c r="G36" s="120">
        <v>4.57</v>
      </c>
      <c r="H36" s="120">
        <f t="shared" ref="H36:H39" si="12">TRUNC(G36*1.24,2)</f>
        <v>5.66</v>
      </c>
      <c r="I36" s="120">
        <f t="shared" ref="I36:I39" si="13">TRUNC(H36*F36,2)</f>
        <v>690.4</v>
      </c>
    </row>
    <row r="37" spans="1:10" ht="13" x14ac:dyDescent="0.3">
      <c r="A37" s="190" t="s">
        <v>89</v>
      </c>
      <c r="B37" s="240"/>
      <c r="C37" s="241"/>
      <c r="D37" s="191" t="s">
        <v>90</v>
      </c>
      <c r="E37" s="192"/>
      <c r="F37" s="193"/>
      <c r="G37" s="194"/>
      <c r="H37" s="195"/>
      <c r="I37" s="196"/>
    </row>
    <row r="38" spans="1:10" ht="39" x14ac:dyDescent="0.3">
      <c r="A38" s="117" t="s">
        <v>91</v>
      </c>
      <c r="B38" s="243">
        <v>95241</v>
      </c>
      <c r="C38" s="239" t="s">
        <v>31</v>
      </c>
      <c r="D38" s="118" t="s">
        <v>92</v>
      </c>
      <c r="E38" s="119" t="s">
        <v>25</v>
      </c>
      <c r="F38" s="120">
        <f>MC!G123</f>
        <v>121.98</v>
      </c>
      <c r="G38" s="120">
        <v>23.76</v>
      </c>
      <c r="H38" s="120">
        <f t="shared" si="12"/>
        <v>29.46</v>
      </c>
      <c r="I38" s="120">
        <f t="shared" si="13"/>
        <v>3593.53</v>
      </c>
    </row>
    <row r="39" spans="1:10" ht="65" x14ac:dyDescent="0.3">
      <c r="A39" s="117" t="s">
        <v>93</v>
      </c>
      <c r="B39" s="243">
        <v>95956</v>
      </c>
      <c r="C39" s="239" t="s">
        <v>31</v>
      </c>
      <c r="D39" s="118" t="s">
        <v>94</v>
      </c>
      <c r="E39" s="119" t="s">
        <v>39</v>
      </c>
      <c r="F39" s="120">
        <f>MC!G132</f>
        <v>8.1399999999999988</v>
      </c>
      <c r="G39" s="120">
        <v>2335.06</v>
      </c>
      <c r="H39" s="120">
        <f t="shared" si="12"/>
        <v>2895.47</v>
      </c>
      <c r="I39" s="120">
        <f t="shared" si="13"/>
        <v>23569.119999999999</v>
      </c>
    </row>
    <row r="40" spans="1:10" ht="13" x14ac:dyDescent="0.3">
      <c r="A40" s="190" t="s">
        <v>95</v>
      </c>
      <c r="B40" s="240"/>
      <c r="C40" s="241"/>
      <c r="D40" s="191" t="s">
        <v>96</v>
      </c>
      <c r="E40" s="192"/>
      <c r="F40" s="193"/>
      <c r="G40" s="194"/>
      <c r="H40" s="195"/>
      <c r="I40" s="196"/>
    </row>
    <row r="41" spans="1:10" ht="52" x14ac:dyDescent="0.3">
      <c r="A41" s="117" t="s">
        <v>97</v>
      </c>
      <c r="B41" s="243" t="s">
        <v>98</v>
      </c>
      <c r="C41" s="243" t="s">
        <v>99</v>
      </c>
      <c r="D41" s="118" t="s">
        <v>100</v>
      </c>
      <c r="E41" s="124" t="s">
        <v>25</v>
      </c>
      <c r="F41" s="120">
        <f>MC!G149</f>
        <v>288.77999999999997</v>
      </c>
      <c r="G41" s="120">
        <f>'CP-01'!G14</f>
        <v>75.19</v>
      </c>
      <c r="H41" s="120">
        <f t="shared" si="9"/>
        <v>93.23</v>
      </c>
      <c r="I41" s="120">
        <f t="shared" si="11"/>
        <v>26922.95</v>
      </c>
      <c r="J41" s="215">
        <f>F41*52</f>
        <v>15016.559999999998</v>
      </c>
    </row>
    <row r="42" spans="1:10" ht="52" x14ac:dyDescent="0.3">
      <c r="A42" s="117" t="s">
        <v>101</v>
      </c>
      <c r="B42" s="243">
        <v>87878</v>
      </c>
      <c r="C42" s="239" t="s">
        <v>31</v>
      </c>
      <c r="D42" s="123" t="s">
        <v>102</v>
      </c>
      <c r="E42" s="124" t="s">
        <v>25</v>
      </c>
      <c r="F42" s="202">
        <f>MC!G159</f>
        <v>240.85</v>
      </c>
      <c r="G42" s="125">
        <v>3.48</v>
      </c>
      <c r="H42" s="120">
        <f t="shared" si="9"/>
        <v>4.3099999999999996</v>
      </c>
      <c r="I42" s="120">
        <f t="shared" si="11"/>
        <v>1038.06</v>
      </c>
    </row>
    <row r="43" spans="1:10" ht="65" x14ac:dyDescent="0.3">
      <c r="A43" s="117" t="s">
        <v>103</v>
      </c>
      <c r="B43" s="243">
        <v>87792</v>
      </c>
      <c r="C43" s="239" t="s">
        <v>31</v>
      </c>
      <c r="D43" s="123" t="s">
        <v>104</v>
      </c>
      <c r="E43" s="124" t="s">
        <v>25</v>
      </c>
      <c r="F43" s="202">
        <f>MC!G169</f>
        <v>240.85</v>
      </c>
      <c r="G43" s="120">
        <v>33.17</v>
      </c>
      <c r="H43" s="120">
        <f t="shared" si="9"/>
        <v>41.13</v>
      </c>
      <c r="I43" s="120">
        <f t="shared" si="11"/>
        <v>9906.16</v>
      </c>
    </row>
    <row r="44" spans="1:10" ht="12.75" customHeight="1" x14ac:dyDescent="0.3">
      <c r="A44" s="115" t="s">
        <v>105</v>
      </c>
      <c r="B44" s="203"/>
      <c r="C44" s="228"/>
      <c r="D44" s="204" t="s">
        <v>106</v>
      </c>
      <c r="E44" s="205"/>
      <c r="F44" s="206"/>
      <c r="G44" s="210"/>
      <c r="H44" s="211"/>
      <c r="I44" s="116">
        <f>SUM(I45:I51)</f>
        <v>415675.58999999997</v>
      </c>
    </row>
    <row r="45" spans="1:10" ht="26" x14ac:dyDescent="0.3">
      <c r="A45" s="117" t="s">
        <v>107</v>
      </c>
      <c r="B45" s="243">
        <v>11472</v>
      </c>
      <c r="C45" s="239" t="s">
        <v>28</v>
      </c>
      <c r="D45" s="118" t="s">
        <v>108</v>
      </c>
      <c r="E45" s="119" t="s">
        <v>25</v>
      </c>
      <c r="F45" s="120">
        <f>MC!G179</f>
        <v>4460.68</v>
      </c>
      <c r="G45" s="120">
        <v>5.64</v>
      </c>
      <c r="H45" s="120">
        <f t="shared" ref="H45" si="14">TRUNC(G45*1.24,2)</f>
        <v>6.99</v>
      </c>
      <c r="I45" s="120">
        <f t="shared" ref="I45" si="15">TRUNC(H45*F45,2)</f>
        <v>31180.15</v>
      </c>
    </row>
    <row r="46" spans="1:10" ht="78" x14ac:dyDescent="0.3">
      <c r="A46" s="117" t="s">
        <v>109</v>
      </c>
      <c r="B46" s="239">
        <v>94273</v>
      </c>
      <c r="C46" s="239" t="s">
        <v>31</v>
      </c>
      <c r="D46" s="189" t="s">
        <v>110</v>
      </c>
      <c r="E46" s="124" t="s">
        <v>50</v>
      </c>
      <c r="F46" s="120">
        <f>MC!G184</f>
        <v>75.8</v>
      </c>
      <c r="G46" s="120">
        <v>43.19</v>
      </c>
      <c r="H46" s="120">
        <f t="shared" ref="H46:H91" si="16">TRUNC(G46*1.24,2)</f>
        <v>53.55</v>
      </c>
      <c r="I46" s="120">
        <f t="shared" ref="I46" si="17">TRUNC(H46*F46,2)</f>
        <v>4059.09</v>
      </c>
    </row>
    <row r="47" spans="1:10" ht="39" x14ac:dyDescent="0.3">
      <c r="A47" s="117" t="s">
        <v>111</v>
      </c>
      <c r="B47" s="238" t="s">
        <v>112</v>
      </c>
      <c r="C47" s="239" t="s">
        <v>28</v>
      </c>
      <c r="D47" s="189" t="s">
        <v>113</v>
      </c>
      <c r="E47" s="124" t="s">
        <v>50</v>
      </c>
      <c r="F47" s="120">
        <f>MC!G239</f>
        <v>1833.14</v>
      </c>
      <c r="G47" s="120">
        <v>23.28</v>
      </c>
      <c r="H47" s="120">
        <f t="shared" si="16"/>
        <v>28.86</v>
      </c>
      <c r="I47" s="120">
        <f t="shared" ref="I47:I50" si="18">TRUNC(H47*F47,2)</f>
        <v>52904.42</v>
      </c>
    </row>
    <row r="48" spans="1:10" ht="39" x14ac:dyDescent="0.3">
      <c r="A48" s="117" t="s">
        <v>114</v>
      </c>
      <c r="B48" s="239">
        <v>93679</v>
      </c>
      <c r="C48" s="239" t="s">
        <v>31</v>
      </c>
      <c r="D48" s="189" t="s">
        <v>115</v>
      </c>
      <c r="E48" s="124" t="s">
        <v>25</v>
      </c>
      <c r="F48" s="120">
        <f>MC!G245</f>
        <v>1129.1300000000001</v>
      </c>
      <c r="G48" s="120">
        <v>77.290000000000006</v>
      </c>
      <c r="H48" s="120">
        <f t="shared" si="16"/>
        <v>95.83</v>
      </c>
      <c r="I48" s="120">
        <f t="shared" si="18"/>
        <v>108204.52</v>
      </c>
    </row>
    <row r="49" spans="1:9" ht="39" x14ac:dyDescent="0.3">
      <c r="A49" s="117" t="s">
        <v>116</v>
      </c>
      <c r="B49" s="239">
        <v>92396</v>
      </c>
      <c r="C49" s="239" t="s">
        <v>31</v>
      </c>
      <c r="D49" s="189" t="s">
        <v>117</v>
      </c>
      <c r="E49" s="124" t="s">
        <v>25</v>
      </c>
      <c r="F49" s="120">
        <f>MC!G250</f>
        <v>1918.1</v>
      </c>
      <c r="G49" s="120">
        <v>69.53</v>
      </c>
      <c r="H49" s="120">
        <f t="shared" si="16"/>
        <v>86.21</v>
      </c>
      <c r="I49" s="120">
        <f t="shared" si="18"/>
        <v>165359.4</v>
      </c>
    </row>
    <row r="50" spans="1:9" ht="52" x14ac:dyDescent="0.3">
      <c r="A50" s="117" t="s">
        <v>118</v>
      </c>
      <c r="B50" s="243">
        <v>94990</v>
      </c>
      <c r="C50" s="239" t="s">
        <v>31</v>
      </c>
      <c r="D50" s="189" t="s">
        <v>119</v>
      </c>
      <c r="E50" s="124" t="s">
        <v>39</v>
      </c>
      <c r="F50" s="120">
        <f>MC!G255</f>
        <v>63.09</v>
      </c>
      <c r="G50" s="120">
        <v>624.53</v>
      </c>
      <c r="H50" s="120">
        <f t="shared" si="16"/>
        <v>774.41</v>
      </c>
      <c r="I50" s="120">
        <f t="shared" si="18"/>
        <v>48857.52</v>
      </c>
    </row>
    <row r="51" spans="1:9" ht="39" x14ac:dyDescent="0.3">
      <c r="A51" s="117" t="s">
        <v>120</v>
      </c>
      <c r="B51" s="242" t="s">
        <v>121</v>
      </c>
      <c r="C51" s="239" t="s">
        <v>28</v>
      </c>
      <c r="D51" s="189" t="s">
        <v>122</v>
      </c>
      <c r="E51" s="124" t="s">
        <v>25</v>
      </c>
      <c r="F51" s="120">
        <f>MC!G260</f>
        <v>1261.8499999999999</v>
      </c>
      <c r="G51" s="120">
        <v>3.27</v>
      </c>
      <c r="H51" s="120">
        <f t="shared" ref="H51" si="19">TRUNC(G51*1.24,2)</f>
        <v>4.05</v>
      </c>
      <c r="I51" s="120">
        <f t="shared" ref="I51" si="20">TRUNC(H51*F51,2)</f>
        <v>5110.49</v>
      </c>
    </row>
    <row r="52" spans="1:9" ht="12.75" customHeight="1" x14ac:dyDescent="0.3">
      <c r="A52" s="115" t="s">
        <v>123</v>
      </c>
      <c r="B52" s="203"/>
      <c r="C52" s="228"/>
      <c r="D52" s="204" t="s">
        <v>124</v>
      </c>
      <c r="E52" s="205"/>
      <c r="F52" s="206"/>
      <c r="G52" s="210"/>
      <c r="H52" s="211"/>
      <c r="I52" s="116">
        <f>SUM(I54:I61)</f>
        <v>83457.19</v>
      </c>
    </row>
    <row r="53" spans="1:9" ht="12.75" customHeight="1" x14ac:dyDescent="0.3">
      <c r="A53" s="190" t="s">
        <v>125</v>
      </c>
      <c r="B53" s="240"/>
      <c r="C53" s="241"/>
      <c r="D53" s="207" t="s">
        <v>126</v>
      </c>
      <c r="E53" s="208"/>
      <c r="F53" s="209"/>
      <c r="G53" s="232"/>
      <c r="H53" s="233"/>
      <c r="I53" s="196"/>
    </row>
    <row r="54" spans="1:9" ht="27.65" customHeight="1" x14ac:dyDescent="0.3">
      <c r="A54" s="117" t="s">
        <v>127</v>
      </c>
      <c r="B54" s="238" t="s">
        <v>128</v>
      </c>
      <c r="C54" s="239" t="s">
        <v>28</v>
      </c>
      <c r="D54" s="123" t="s">
        <v>129</v>
      </c>
      <c r="E54" s="119" t="s">
        <v>25</v>
      </c>
      <c r="F54" s="120">
        <f>MC!G267</f>
        <v>930.86</v>
      </c>
      <c r="G54" s="120">
        <v>21.43</v>
      </c>
      <c r="H54" s="120">
        <f t="shared" si="16"/>
        <v>26.57</v>
      </c>
      <c r="I54" s="120">
        <f t="shared" ref="I54" si="21">TRUNC(H54*F54,2)</f>
        <v>24732.95</v>
      </c>
    </row>
    <row r="55" spans="1:9" ht="27.65" customHeight="1" x14ac:dyDescent="0.3">
      <c r="A55" s="117" t="s">
        <v>130</v>
      </c>
      <c r="B55" s="244" t="s">
        <v>131</v>
      </c>
      <c r="C55" s="239" t="s">
        <v>28</v>
      </c>
      <c r="D55" s="189" t="s">
        <v>132</v>
      </c>
      <c r="E55" s="119" t="s">
        <v>25</v>
      </c>
      <c r="F55" s="202">
        <f>MC!G272</f>
        <v>307.2</v>
      </c>
      <c r="G55" s="235">
        <v>5.63</v>
      </c>
      <c r="H55" s="120">
        <f t="shared" ref="H55" si="22">TRUNC(G55*1.24,2)</f>
        <v>6.98</v>
      </c>
      <c r="I55" s="120">
        <f t="shared" ref="I55" si="23">TRUNC(H55*F55,2)</f>
        <v>2144.25</v>
      </c>
    </row>
    <row r="56" spans="1:9" ht="13" x14ac:dyDescent="0.3">
      <c r="A56" s="190" t="s">
        <v>133</v>
      </c>
      <c r="B56" s="240"/>
      <c r="C56" s="241"/>
      <c r="D56" s="207" t="s">
        <v>124</v>
      </c>
      <c r="E56" s="208"/>
      <c r="F56" s="209"/>
      <c r="G56" s="232"/>
      <c r="H56" s="233"/>
      <c r="I56" s="196"/>
    </row>
    <row r="57" spans="1:9" ht="26" x14ac:dyDescent="0.3">
      <c r="A57" s="117" t="s">
        <v>134</v>
      </c>
      <c r="B57" s="239">
        <v>88485</v>
      </c>
      <c r="C57" s="239" t="s">
        <v>31</v>
      </c>
      <c r="D57" s="118" t="s">
        <v>135</v>
      </c>
      <c r="E57" s="119" t="s">
        <v>25</v>
      </c>
      <c r="F57" s="202">
        <f>MC!G280</f>
        <v>1004.94</v>
      </c>
      <c r="G57" s="235">
        <v>2.2000000000000002</v>
      </c>
      <c r="H57" s="120">
        <f t="shared" ref="H57:H61" si="24">TRUNC(G57*1.24,2)</f>
        <v>2.72</v>
      </c>
      <c r="I57" s="120">
        <f t="shared" ref="I57:I61" si="25">TRUNC(H57*F57,2)</f>
        <v>2733.43</v>
      </c>
    </row>
    <row r="58" spans="1:9" ht="27.65" customHeight="1" x14ac:dyDescent="0.3">
      <c r="A58" s="117" t="s">
        <v>136</v>
      </c>
      <c r="B58" s="239">
        <v>88489</v>
      </c>
      <c r="C58" s="239" t="s">
        <v>31</v>
      </c>
      <c r="D58" s="118" t="s">
        <v>137</v>
      </c>
      <c r="E58" s="119" t="s">
        <v>25</v>
      </c>
      <c r="F58" s="202">
        <f>MC!G287</f>
        <v>1004.94</v>
      </c>
      <c r="G58" s="235">
        <v>13.12</v>
      </c>
      <c r="H58" s="120">
        <f t="shared" si="24"/>
        <v>16.260000000000002</v>
      </c>
      <c r="I58" s="120">
        <f t="shared" si="25"/>
        <v>16340.32</v>
      </c>
    </row>
    <row r="59" spans="1:9" ht="39" x14ac:dyDescent="0.3">
      <c r="A59" s="117" t="s">
        <v>138</v>
      </c>
      <c r="B59" s="239">
        <v>102208</v>
      </c>
      <c r="C59" s="239" t="s">
        <v>31</v>
      </c>
      <c r="D59" s="118" t="s">
        <v>139</v>
      </c>
      <c r="E59" s="119" t="s">
        <v>25</v>
      </c>
      <c r="F59" s="202">
        <f>MC!G292</f>
        <v>29.4</v>
      </c>
      <c r="G59" s="235">
        <v>5.76</v>
      </c>
      <c r="H59" s="120">
        <f t="shared" si="24"/>
        <v>7.14</v>
      </c>
      <c r="I59" s="120">
        <f t="shared" si="25"/>
        <v>209.91</v>
      </c>
    </row>
    <row r="60" spans="1:9" ht="52" x14ac:dyDescent="0.3">
      <c r="A60" s="117" t="s">
        <v>140</v>
      </c>
      <c r="B60" s="239">
        <v>100735</v>
      </c>
      <c r="C60" s="239" t="s">
        <v>31</v>
      </c>
      <c r="D60" s="118" t="s">
        <v>141</v>
      </c>
      <c r="E60" s="119" t="s">
        <v>25</v>
      </c>
      <c r="F60" s="202">
        <f>MC!G298</f>
        <v>940.94</v>
      </c>
      <c r="G60" s="235">
        <v>7.59</v>
      </c>
      <c r="H60" s="120">
        <f t="shared" si="24"/>
        <v>9.41</v>
      </c>
      <c r="I60" s="120">
        <f t="shared" si="25"/>
        <v>8854.24</v>
      </c>
    </row>
    <row r="61" spans="1:9" ht="39" x14ac:dyDescent="0.3">
      <c r="A61" s="117" t="s">
        <v>142</v>
      </c>
      <c r="B61" s="239">
        <v>102492</v>
      </c>
      <c r="C61" s="239" t="s">
        <v>31</v>
      </c>
      <c r="D61" s="189" t="s">
        <v>143</v>
      </c>
      <c r="E61" s="119" t="s">
        <v>25</v>
      </c>
      <c r="F61" s="202">
        <f>MC!G303</f>
        <v>1261.8499999999999</v>
      </c>
      <c r="G61" s="235">
        <v>18.18</v>
      </c>
      <c r="H61" s="120">
        <f t="shared" si="24"/>
        <v>22.54</v>
      </c>
      <c r="I61" s="120">
        <f t="shared" si="25"/>
        <v>28442.09</v>
      </c>
    </row>
    <row r="62" spans="1:9" ht="13" x14ac:dyDescent="0.3">
      <c r="A62" s="115" t="s">
        <v>144</v>
      </c>
      <c r="B62" s="203"/>
      <c r="C62" s="228"/>
      <c r="D62" s="204" t="s">
        <v>145</v>
      </c>
      <c r="E62" s="205"/>
      <c r="F62" s="206"/>
      <c r="G62" s="210"/>
      <c r="H62" s="211"/>
      <c r="I62" s="116">
        <f>SUM(I63:I67)</f>
        <v>95760.05</v>
      </c>
    </row>
    <row r="63" spans="1:9" ht="13" x14ac:dyDescent="0.3">
      <c r="A63" s="190" t="s">
        <v>146</v>
      </c>
      <c r="B63" s="240"/>
      <c r="C63" s="241"/>
      <c r="D63" s="207" t="s">
        <v>147</v>
      </c>
      <c r="E63" s="208"/>
      <c r="F63" s="209"/>
      <c r="G63" s="232"/>
      <c r="H63" s="233"/>
      <c r="I63" s="196"/>
    </row>
    <row r="64" spans="1:9" ht="26" x14ac:dyDescent="0.3">
      <c r="A64" s="117" t="s">
        <v>148</v>
      </c>
      <c r="B64" s="238" t="s">
        <v>149</v>
      </c>
      <c r="C64" s="239" t="s">
        <v>28</v>
      </c>
      <c r="D64" s="189" t="s">
        <v>150</v>
      </c>
      <c r="E64" s="119" t="s">
        <v>25</v>
      </c>
      <c r="F64" s="202">
        <f>MC!G316</f>
        <v>174.14</v>
      </c>
      <c r="G64" s="235">
        <v>17.43</v>
      </c>
      <c r="H64" s="120">
        <f t="shared" ref="H64" si="26">TRUNC(G64*1.24,2)</f>
        <v>21.61</v>
      </c>
      <c r="I64" s="120">
        <f t="shared" ref="I64" si="27">TRUNC(H64*F64,2)</f>
        <v>3763.16</v>
      </c>
    </row>
    <row r="65" spans="1:9" ht="13" x14ac:dyDescent="0.3">
      <c r="A65" s="190" t="s">
        <v>151</v>
      </c>
      <c r="B65" s="240"/>
      <c r="C65" s="241"/>
      <c r="D65" s="207" t="s">
        <v>152</v>
      </c>
      <c r="E65" s="208"/>
      <c r="F65" s="209"/>
      <c r="G65" s="232"/>
      <c r="H65" s="233"/>
      <c r="I65" s="196"/>
    </row>
    <row r="66" spans="1:9" ht="26" x14ac:dyDescent="0.3">
      <c r="A66" s="117" t="s">
        <v>153</v>
      </c>
      <c r="B66" s="242" t="s">
        <v>66</v>
      </c>
      <c r="C66" s="239" t="s">
        <v>28</v>
      </c>
      <c r="D66" s="123" t="s">
        <v>67</v>
      </c>
      <c r="E66" s="234" t="s">
        <v>68</v>
      </c>
      <c r="F66" s="125">
        <f>MC!G322</f>
        <v>930.86</v>
      </c>
      <c r="G66" s="125">
        <v>7.3</v>
      </c>
      <c r="H66" s="120">
        <f t="shared" ref="H66:H71" si="28">TRUNC(G66*1.24,2)</f>
        <v>9.0500000000000007</v>
      </c>
      <c r="I66" s="120">
        <f t="shared" ref="I66:I71" si="29">TRUNC(H66*F66,2)</f>
        <v>8424.2800000000007</v>
      </c>
    </row>
    <row r="67" spans="1:9" ht="39" x14ac:dyDescent="0.3">
      <c r="A67" s="117" t="s">
        <v>154</v>
      </c>
      <c r="B67" s="239">
        <v>94213</v>
      </c>
      <c r="C67" s="239" t="s">
        <v>31</v>
      </c>
      <c r="D67" s="189" t="s">
        <v>155</v>
      </c>
      <c r="E67" s="119" t="s">
        <v>25</v>
      </c>
      <c r="F67" s="202">
        <f>MC!G327</f>
        <v>930.86</v>
      </c>
      <c r="G67" s="235">
        <v>72.41</v>
      </c>
      <c r="H67" s="120">
        <f t="shared" si="28"/>
        <v>89.78</v>
      </c>
      <c r="I67" s="120">
        <f t="shared" si="29"/>
        <v>83572.61</v>
      </c>
    </row>
    <row r="68" spans="1:9" ht="13" x14ac:dyDescent="0.3">
      <c r="A68" s="115" t="s">
        <v>156</v>
      </c>
      <c r="B68" s="203"/>
      <c r="C68" s="228"/>
      <c r="D68" s="204" t="s">
        <v>157</v>
      </c>
      <c r="E68" s="205"/>
      <c r="F68" s="206"/>
      <c r="G68" s="210"/>
      <c r="H68" s="211"/>
      <c r="I68" s="116">
        <f>SUM(I69:I76)</f>
        <v>172721.36</v>
      </c>
    </row>
    <row r="69" spans="1:9" ht="13" x14ac:dyDescent="0.3">
      <c r="A69" s="190" t="s">
        <v>158</v>
      </c>
      <c r="B69" s="240"/>
      <c r="C69" s="241"/>
      <c r="D69" s="207" t="s">
        <v>147</v>
      </c>
      <c r="E69" s="208"/>
      <c r="F69" s="209"/>
      <c r="G69" s="232"/>
      <c r="H69" s="233"/>
      <c r="I69" s="196"/>
    </row>
    <row r="70" spans="1:9" ht="26" x14ac:dyDescent="0.3">
      <c r="A70" s="117" t="s">
        <v>159</v>
      </c>
      <c r="B70" s="244" t="s">
        <v>160</v>
      </c>
      <c r="C70" s="239" t="s">
        <v>28</v>
      </c>
      <c r="D70" s="189" t="s">
        <v>161</v>
      </c>
      <c r="E70" s="119" t="s">
        <v>25</v>
      </c>
      <c r="F70" s="202">
        <f>MC!G334</f>
        <v>11.76</v>
      </c>
      <c r="G70" s="235">
        <v>82.04</v>
      </c>
      <c r="H70" s="120">
        <f t="shared" si="28"/>
        <v>101.72</v>
      </c>
      <c r="I70" s="120">
        <f t="shared" si="29"/>
        <v>1196.22</v>
      </c>
    </row>
    <row r="71" spans="1:9" ht="26" x14ac:dyDescent="0.3">
      <c r="A71" s="117" t="s">
        <v>162</v>
      </c>
      <c r="B71" s="244" t="s">
        <v>163</v>
      </c>
      <c r="C71" s="239" t="s">
        <v>28</v>
      </c>
      <c r="D71" s="189" t="s">
        <v>164</v>
      </c>
      <c r="E71" s="119" t="s">
        <v>25</v>
      </c>
      <c r="F71" s="202">
        <f>MC!G339</f>
        <v>5.04</v>
      </c>
      <c r="G71" s="235">
        <v>145.29</v>
      </c>
      <c r="H71" s="120">
        <f t="shared" si="28"/>
        <v>180.15</v>
      </c>
      <c r="I71" s="120">
        <f t="shared" si="29"/>
        <v>907.95</v>
      </c>
    </row>
    <row r="72" spans="1:9" ht="13" x14ac:dyDescent="0.3">
      <c r="A72" s="190" t="s">
        <v>165</v>
      </c>
      <c r="B72" s="240"/>
      <c r="C72" s="241"/>
      <c r="D72" s="207" t="s">
        <v>166</v>
      </c>
      <c r="E72" s="208"/>
      <c r="F72" s="209"/>
      <c r="G72" s="232"/>
      <c r="H72" s="233"/>
      <c r="I72" s="196"/>
    </row>
    <row r="73" spans="1:9" ht="26" x14ac:dyDescent="0.3">
      <c r="A73" s="117" t="s">
        <v>167</v>
      </c>
      <c r="B73" s="244">
        <v>11201</v>
      </c>
      <c r="C73" s="239" t="s">
        <v>28</v>
      </c>
      <c r="D73" s="189" t="s">
        <v>168</v>
      </c>
      <c r="E73" s="119" t="s">
        <v>25</v>
      </c>
      <c r="F73" s="202">
        <f>MC!G345</f>
        <v>369.6</v>
      </c>
      <c r="G73" s="235">
        <v>245</v>
      </c>
      <c r="H73" s="120">
        <f t="shared" ref="H73" si="30">TRUNC(G73*1.24,2)</f>
        <v>303.8</v>
      </c>
      <c r="I73" s="120">
        <f t="shared" ref="I73" si="31">TRUNC(H73*F73,2)</f>
        <v>112284.48</v>
      </c>
    </row>
    <row r="74" spans="1:9" ht="13" x14ac:dyDescent="0.3">
      <c r="A74" s="190" t="s">
        <v>169</v>
      </c>
      <c r="B74" s="240"/>
      <c r="C74" s="241"/>
      <c r="D74" s="207" t="s">
        <v>170</v>
      </c>
      <c r="E74" s="208"/>
      <c r="F74" s="209"/>
      <c r="G74" s="232"/>
      <c r="H74" s="233"/>
      <c r="I74" s="196"/>
    </row>
    <row r="75" spans="1:9" ht="52" x14ac:dyDescent="0.3">
      <c r="A75" s="117" t="s">
        <v>171</v>
      </c>
      <c r="B75" s="238" t="s">
        <v>172</v>
      </c>
      <c r="C75" s="239" t="s">
        <v>28</v>
      </c>
      <c r="D75" s="189" t="s">
        <v>173</v>
      </c>
      <c r="E75" s="119" t="s">
        <v>25</v>
      </c>
      <c r="F75" s="202">
        <f>MC!G351</f>
        <v>113.7</v>
      </c>
      <c r="G75" s="235">
        <v>373.73</v>
      </c>
      <c r="H75" s="120">
        <f t="shared" ref="H75:H76" si="32">TRUNC(G75*1.24,2)</f>
        <v>463.42</v>
      </c>
      <c r="I75" s="120">
        <f t="shared" ref="I75:I76" si="33">TRUNC(H75*F75,2)</f>
        <v>52690.85</v>
      </c>
    </row>
    <row r="76" spans="1:9" ht="26" x14ac:dyDescent="0.3">
      <c r="A76" s="117" t="s">
        <v>174</v>
      </c>
      <c r="B76" s="238" t="s">
        <v>175</v>
      </c>
      <c r="C76" s="239" t="s">
        <v>28</v>
      </c>
      <c r="D76" s="189" t="s">
        <v>176</v>
      </c>
      <c r="E76" s="119" t="s">
        <v>25</v>
      </c>
      <c r="F76" s="202">
        <f>MC!G356</f>
        <v>6</v>
      </c>
      <c r="G76" s="235">
        <v>758.32</v>
      </c>
      <c r="H76" s="120">
        <f t="shared" si="32"/>
        <v>940.31</v>
      </c>
      <c r="I76" s="120">
        <f t="shared" si="33"/>
        <v>5641.86</v>
      </c>
    </row>
    <row r="77" spans="1:9" ht="12.75" customHeight="1" x14ac:dyDescent="0.3">
      <c r="A77" s="115" t="s">
        <v>177</v>
      </c>
      <c r="B77" s="203"/>
      <c r="C77" s="228"/>
      <c r="D77" s="204" t="s">
        <v>178</v>
      </c>
      <c r="E77" s="205"/>
      <c r="F77" s="206"/>
      <c r="G77" s="210"/>
      <c r="H77" s="211"/>
      <c r="I77" s="116">
        <f>SUM(I78:I91)</f>
        <v>270722.11</v>
      </c>
    </row>
    <row r="78" spans="1:9" ht="13" x14ac:dyDescent="0.3">
      <c r="A78" s="190" t="s">
        <v>179</v>
      </c>
      <c r="B78" s="240"/>
      <c r="C78" s="241"/>
      <c r="D78" s="207" t="s">
        <v>147</v>
      </c>
      <c r="E78" s="208"/>
      <c r="F78" s="209"/>
      <c r="G78" s="232"/>
      <c r="H78" s="233"/>
      <c r="I78" s="196"/>
    </row>
    <row r="79" spans="1:9" ht="26" x14ac:dyDescent="0.3">
      <c r="A79" s="117" t="s">
        <v>180</v>
      </c>
      <c r="B79" s="247" t="s">
        <v>181</v>
      </c>
      <c r="C79" s="239" t="s">
        <v>28</v>
      </c>
      <c r="D79" s="118" t="s">
        <v>182</v>
      </c>
      <c r="E79" s="246" t="s">
        <v>183</v>
      </c>
      <c r="F79" s="202">
        <f>MC!G363</f>
        <v>12</v>
      </c>
      <c r="G79" s="235">
        <v>82.45</v>
      </c>
      <c r="H79" s="120">
        <f t="shared" ref="H79" si="34">TRUNC(G79*1.24,2)</f>
        <v>102.23</v>
      </c>
      <c r="I79" s="120">
        <f t="shared" ref="I79" si="35">TRUNC(H79*F79,2)</f>
        <v>1226.76</v>
      </c>
    </row>
    <row r="80" spans="1:9" ht="26" x14ac:dyDescent="0.3">
      <c r="A80" s="117" t="s">
        <v>184</v>
      </c>
      <c r="B80" s="247" t="s">
        <v>185</v>
      </c>
      <c r="C80" s="239" t="s">
        <v>28</v>
      </c>
      <c r="D80" s="118" t="s">
        <v>186</v>
      </c>
      <c r="E80" s="246" t="s">
        <v>183</v>
      </c>
      <c r="F80" s="202">
        <f>MC!G368</f>
        <v>20</v>
      </c>
      <c r="G80" s="235">
        <v>72.099999999999994</v>
      </c>
      <c r="H80" s="120">
        <f t="shared" ref="H80" si="36">TRUNC(G80*1.24,2)</f>
        <v>89.4</v>
      </c>
      <c r="I80" s="120">
        <f t="shared" ref="I80" si="37">TRUNC(H80*F80,2)</f>
        <v>1788</v>
      </c>
    </row>
    <row r="81" spans="1:9" ht="27.65" customHeight="1" x14ac:dyDescent="0.3">
      <c r="A81" s="117" t="s">
        <v>187</v>
      </c>
      <c r="B81" s="247" t="s">
        <v>188</v>
      </c>
      <c r="C81" s="239" t="s">
        <v>28</v>
      </c>
      <c r="D81" s="118" t="s">
        <v>189</v>
      </c>
      <c r="E81" s="246" t="s">
        <v>183</v>
      </c>
      <c r="F81" s="202">
        <f>MC!G373</f>
        <v>10</v>
      </c>
      <c r="G81" s="235">
        <v>93.99</v>
      </c>
      <c r="H81" s="120">
        <f t="shared" ref="H81" si="38">TRUNC(G81*1.24,2)</f>
        <v>116.54</v>
      </c>
      <c r="I81" s="120">
        <f t="shared" ref="I81" si="39">TRUNC(H81*F81,2)</f>
        <v>1165.4000000000001</v>
      </c>
    </row>
    <row r="82" spans="1:9" ht="13" x14ac:dyDescent="0.3">
      <c r="A82" s="190" t="s">
        <v>190</v>
      </c>
      <c r="B82" s="240"/>
      <c r="C82" s="241"/>
      <c r="D82" s="207" t="s">
        <v>191</v>
      </c>
      <c r="E82" s="208"/>
      <c r="F82" s="209"/>
      <c r="G82" s="232"/>
      <c r="H82" s="233"/>
      <c r="I82" s="196"/>
    </row>
    <row r="83" spans="1:9" ht="27.65" customHeight="1" x14ac:dyDescent="0.3">
      <c r="A83" s="117" t="s">
        <v>192</v>
      </c>
      <c r="B83" s="239">
        <v>93008</v>
      </c>
      <c r="C83" s="239" t="s">
        <v>31</v>
      </c>
      <c r="D83" s="118" t="s">
        <v>193</v>
      </c>
      <c r="E83" s="119" t="s">
        <v>50</v>
      </c>
      <c r="F83" s="120">
        <f>MC!G380</f>
        <v>650</v>
      </c>
      <c r="G83" s="120">
        <v>15.86</v>
      </c>
      <c r="H83" s="120">
        <f t="shared" si="16"/>
        <v>19.66</v>
      </c>
      <c r="I83" s="120">
        <f t="shared" ref="I83:I91" si="40">TRUNC(H83*F83,2)</f>
        <v>12779</v>
      </c>
    </row>
    <row r="84" spans="1:9" ht="41.5" customHeight="1" x14ac:dyDescent="0.3">
      <c r="A84" s="117" t="s">
        <v>194</v>
      </c>
      <c r="B84" s="239">
        <v>95728</v>
      </c>
      <c r="C84" s="239" t="s">
        <v>31</v>
      </c>
      <c r="D84" s="118" t="s">
        <v>195</v>
      </c>
      <c r="E84" s="119" t="s">
        <v>50</v>
      </c>
      <c r="F84" s="120">
        <f>MC!G385</f>
        <v>128.1</v>
      </c>
      <c r="G84" s="120">
        <v>8.52</v>
      </c>
      <c r="H84" s="120">
        <f t="shared" si="16"/>
        <v>10.56</v>
      </c>
      <c r="I84" s="120">
        <f t="shared" si="40"/>
        <v>1352.73</v>
      </c>
    </row>
    <row r="85" spans="1:9" ht="41.5" customHeight="1" x14ac:dyDescent="0.3">
      <c r="A85" s="117" t="s">
        <v>196</v>
      </c>
      <c r="B85" s="239">
        <v>91932</v>
      </c>
      <c r="C85" s="239" t="s">
        <v>31</v>
      </c>
      <c r="D85" s="118" t="s">
        <v>197</v>
      </c>
      <c r="E85" s="119" t="s">
        <v>50</v>
      </c>
      <c r="F85" s="120">
        <f>MC!G390</f>
        <v>1950</v>
      </c>
      <c r="G85" s="120">
        <v>15.19</v>
      </c>
      <c r="H85" s="120">
        <f t="shared" si="16"/>
        <v>18.829999999999998</v>
      </c>
      <c r="I85" s="120">
        <f t="shared" si="40"/>
        <v>36718.5</v>
      </c>
    </row>
    <row r="86" spans="1:9" ht="39" x14ac:dyDescent="0.3">
      <c r="A86" s="117" t="s">
        <v>198</v>
      </c>
      <c r="B86" s="239">
        <v>91928</v>
      </c>
      <c r="C86" s="239" t="s">
        <v>31</v>
      </c>
      <c r="D86" s="118" t="s">
        <v>199</v>
      </c>
      <c r="E86" s="119" t="s">
        <v>50</v>
      </c>
      <c r="F86" s="120">
        <f>MC!G395</f>
        <v>384.3</v>
      </c>
      <c r="G86" s="120">
        <v>6.63</v>
      </c>
      <c r="H86" s="120">
        <f t="shared" si="16"/>
        <v>8.2200000000000006</v>
      </c>
      <c r="I86" s="120">
        <f t="shared" si="40"/>
        <v>3158.94</v>
      </c>
    </row>
    <row r="87" spans="1:9" ht="26" x14ac:dyDescent="0.3">
      <c r="A87" s="117" t="s">
        <v>200</v>
      </c>
      <c r="B87" s="238" t="s">
        <v>201</v>
      </c>
      <c r="C87" s="239" t="s">
        <v>28</v>
      </c>
      <c r="D87" s="122" t="s">
        <v>202</v>
      </c>
      <c r="E87" s="119" t="s">
        <v>203</v>
      </c>
      <c r="F87" s="120">
        <f>MC!G401</f>
        <v>99</v>
      </c>
      <c r="G87" s="120">
        <v>145.31</v>
      </c>
      <c r="H87" s="120">
        <f t="shared" si="16"/>
        <v>180.18</v>
      </c>
      <c r="I87" s="120">
        <f t="shared" si="40"/>
        <v>17837.82</v>
      </c>
    </row>
    <row r="88" spans="1:9" ht="26" x14ac:dyDescent="0.3">
      <c r="A88" s="117" t="s">
        <v>204</v>
      </c>
      <c r="B88" s="239">
        <v>12808</v>
      </c>
      <c r="C88" s="239" t="s">
        <v>28</v>
      </c>
      <c r="D88" s="122" t="s">
        <v>205</v>
      </c>
      <c r="E88" s="119" t="s">
        <v>203</v>
      </c>
      <c r="F88" s="120">
        <f>MC!G406</f>
        <v>15</v>
      </c>
      <c r="G88" s="120">
        <v>701.09</v>
      </c>
      <c r="H88" s="120">
        <f t="shared" ref="H88:H89" si="41">TRUNC(G88*1.24,2)</f>
        <v>869.35</v>
      </c>
      <c r="I88" s="120">
        <f t="shared" ref="I88:I89" si="42">TRUNC(H88*F88,2)</f>
        <v>13040.25</v>
      </c>
    </row>
    <row r="89" spans="1:9" ht="69" customHeight="1" x14ac:dyDescent="0.3">
      <c r="A89" s="117" t="s">
        <v>206</v>
      </c>
      <c r="B89" s="239" t="s">
        <v>207</v>
      </c>
      <c r="C89" s="239" t="s">
        <v>208</v>
      </c>
      <c r="D89" s="122" t="s">
        <v>209</v>
      </c>
      <c r="E89" s="119" t="s">
        <v>203</v>
      </c>
      <c r="F89" s="120">
        <f>MC!G411</f>
        <v>85</v>
      </c>
      <c r="G89" s="120">
        <f>576.28+277.02</f>
        <v>853.3</v>
      </c>
      <c r="H89" s="120">
        <f t="shared" si="41"/>
        <v>1058.0899999999999</v>
      </c>
      <c r="I89" s="120">
        <f t="shared" si="42"/>
        <v>89937.65</v>
      </c>
    </row>
    <row r="90" spans="1:9" ht="69" customHeight="1" x14ac:dyDescent="0.3">
      <c r="A90" s="117" t="s">
        <v>210</v>
      </c>
      <c r="B90" s="243" t="s">
        <v>211</v>
      </c>
      <c r="C90" s="243" t="s">
        <v>99</v>
      </c>
      <c r="D90" s="122" t="s">
        <v>212</v>
      </c>
      <c r="E90" s="119" t="s">
        <v>203</v>
      </c>
      <c r="F90" s="120">
        <f>MC!G416</f>
        <v>2</v>
      </c>
      <c r="G90" s="120">
        <f>'CP-02'!G14</f>
        <v>288.52</v>
      </c>
      <c r="H90" s="120">
        <f t="shared" si="16"/>
        <v>357.76</v>
      </c>
      <c r="I90" s="120">
        <f t="shared" si="40"/>
        <v>715.52</v>
      </c>
    </row>
    <row r="91" spans="1:9" ht="65" x14ac:dyDescent="0.3">
      <c r="A91" s="117" t="s">
        <v>213</v>
      </c>
      <c r="B91" s="243" t="s">
        <v>214</v>
      </c>
      <c r="C91" s="243" t="s">
        <v>99</v>
      </c>
      <c r="D91" s="122" t="s">
        <v>215</v>
      </c>
      <c r="E91" s="119" t="s">
        <v>203</v>
      </c>
      <c r="F91" s="120">
        <f>MC!G421</f>
        <v>14</v>
      </c>
      <c r="G91" s="120">
        <f>'CP-03'!G14</f>
        <v>5242.03</v>
      </c>
      <c r="H91" s="120">
        <f t="shared" si="16"/>
        <v>6500.11</v>
      </c>
      <c r="I91" s="120">
        <f t="shared" si="40"/>
        <v>91001.54</v>
      </c>
    </row>
    <row r="92" spans="1:9" ht="12.75" customHeight="1" x14ac:dyDescent="0.3">
      <c r="A92" s="115" t="s">
        <v>216</v>
      </c>
      <c r="B92" s="203"/>
      <c r="C92" s="228"/>
      <c r="D92" s="204" t="s">
        <v>217</v>
      </c>
      <c r="E92" s="205"/>
      <c r="F92" s="206"/>
      <c r="G92" s="210"/>
      <c r="H92" s="211"/>
      <c r="I92" s="116">
        <f>SUM(I93:I104)</f>
        <v>119982.06</v>
      </c>
    </row>
    <row r="93" spans="1:9" ht="13" x14ac:dyDescent="0.3">
      <c r="A93" s="190" t="s">
        <v>218</v>
      </c>
      <c r="B93" s="240"/>
      <c r="C93" s="241"/>
      <c r="D93" s="207" t="s">
        <v>219</v>
      </c>
      <c r="E93" s="208"/>
      <c r="F93" s="209"/>
      <c r="G93" s="194"/>
      <c r="H93" s="195"/>
      <c r="I93" s="196"/>
    </row>
    <row r="94" spans="1:9" ht="39" customHeight="1" x14ac:dyDescent="0.3">
      <c r="A94" s="117" t="s">
        <v>220</v>
      </c>
      <c r="B94" s="238" t="s">
        <v>221</v>
      </c>
      <c r="C94" s="239" t="s">
        <v>28</v>
      </c>
      <c r="D94" s="123" t="s">
        <v>222</v>
      </c>
      <c r="E94" s="124" t="s">
        <v>39</v>
      </c>
      <c r="F94" s="120">
        <f>MC!G433</f>
        <v>16.12</v>
      </c>
      <c r="G94" s="120">
        <v>3016.87</v>
      </c>
      <c r="H94" s="120">
        <f t="shared" ref="H94" si="43">TRUNC(G94*1.24,2)</f>
        <v>3740.91</v>
      </c>
      <c r="I94" s="120">
        <f t="shared" ref="I94" si="44">TRUNC(H94*F94,2)</f>
        <v>60303.46</v>
      </c>
    </row>
    <row r="95" spans="1:9" ht="13" x14ac:dyDescent="0.3">
      <c r="A95" s="190" t="s">
        <v>223</v>
      </c>
      <c r="B95" s="240"/>
      <c r="C95" s="241"/>
      <c r="D95" s="207" t="s">
        <v>224</v>
      </c>
      <c r="E95" s="208"/>
      <c r="F95" s="209"/>
      <c r="G95" s="194"/>
      <c r="H95" s="195"/>
      <c r="I95" s="196"/>
    </row>
    <row r="96" spans="1:9" ht="26" x14ac:dyDescent="0.3">
      <c r="A96" s="117" t="s">
        <v>225</v>
      </c>
      <c r="B96" s="239">
        <v>10234</v>
      </c>
      <c r="C96" s="239" t="s">
        <v>28</v>
      </c>
      <c r="D96" s="123" t="s">
        <v>226</v>
      </c>
      <c r="E96" s="124" t="s">
        <v>25</v>
      </c>
      <c r="F96" s="120">
        <f>MC!G439</f>
        <v>1071.32</v>
      </c>
      <c r="G96" s="120">
        <v>15.67</v>
      </c>
      <c r="H96" s="120">
        <f t="shared" ref="H96" si="45">TRUNC(G96*1.24,2)</f>
        <v>19.43</v>
      </c>
      <c r="I96" s="120">
        <f t="shared" ref="I96" si="46">TRUNC(H96*F96,2)</f>
        <v>20815.740000000002</v>
      </c>
    </row>
    <row r="97" spans="1:9" ht="13" x14ac:dyDescent="0.3">
      <c r="A97" s="190" t="s">
        <v>227</v>
      </c>
      <c r="B97" s="248"/>
      <c r="C97" s="229"/>
      <c r="D97" s="207" t="s">
        <v>228</v>
      </c>
      <c r="E97" s="208"/>
      <c r="F97" s="209"/>
      <c r="G97" s="194"/>
      <c r="H97" s="195"/>
      <c r="I97" s="196"/>
    </row>
    <row r="98" spans="1:9" ht="26" x14ac:dyDescent="0.3">
      <c r="A98" s="117" t="s">
        <v>229</v>
      </c>
      <c r="B98" s="238" t="s">
        <v>230</v>
      </c>
      <c r="C98" s="239" t="s">
        <v>23</v>
      </c>
      <c r="D98" s="123" t="s">
        <v>231</v>
      </c>
      <c r="E98" s="124" t="s">
        <v>203</v>
      </c>
      <c r="F98" s="120">
        <f>MC!G445</f>
        <v>1</v>
      </c>
      <c r="G98" s="120">
        <v>678.38</v>
      </c>
      <c r="H98" s="120">
        <f t="shared" ref="H98" si="47">TRUNC(G98*1.24,2)</f>
        <v>841.19</v>
      </c>
      <c r="I98" s="120">
        <f t="shared" ref="I98" si="48">TRUNC(H98*F98,2)</f>
        <v>841.19</v>
      </c>
    </row>
    <row r="99" spans="1:9" ht="69" customHeight="1" x14ac:dyDescent="0.3">
      <c r="A99" s="117" t="s">
        <v>232</v>
      </c>
      <c r="B99" s="238">
        <v>12114</v>
      </c>
      <c r="C99" s="239" t="s">
        <v>28</v>
      </c>
      <c r="D99" s="123" t="s">
        <v>233</v>
      </c>
      <c r="E99" s="124" t="s">
        <v>203</v>
      </c>
      <c r="F99" s="120">
        <f>MC!G450</f>
        <v>22</v>
      </c>
      <c r="G99" s="120">
        <v>633.84</v>
      </c>
      <c r="H99" s="120">
        <f t="shared" ref="H99:H104" si="49">TRUNC(G99*1.24,2)</f>
        <v>785.96</v>
      </c>
      <c r="I99" s="120">
        <f t="shared" ref="I99:I104" si="50">TRUNC(H99*F99,2)</f>
        <v>17291.12</v>
      </c>
    </row>
    <row r="100" spans="1:9" ht="26" x14ac:dyDescent="0.3">
      <c r="A100" s="117" t="s">
        <v>234</v>
      </c>
      <c r="B100" s="238" t="s">
        <v>235</v>
      </c>
      <c r="C100" s="239" t="s">
        <v>28</v>
      </c>
      <c r="D100" s="123" t="s">
        <v>236</v>
      </c>
      <c r="E100" s="124" t="s">
        <v>203</v>
      </c>
      <c r="F100" s="120">
        <f>MC!G455</f>
        <v>1</v>
      </c>
      <c r="G100" s="120">
        <v>2830</v>
      </c>
      <c r="H100" s="120">
        <f t="shared" si="49"/>
        <v>3509.2</v>
      </c>
      <c r="I100" s="120">
        <f t="shared" si="50"/>
        <v>3509.2</v>
      </c>
    </row>
    <row r="101" spans="1:9" ht="26" x14ac:dyDescent="0.3">
      <c r="A101" s="117" t="s">
        <v>237</v>
      </c>
      <c r="B101" s="238" t="s">
        <v>238</v>
      </c>
      <c r="C101" s="239" t="s">
        <v>28</v>
      </c>
      <c r="D101" s="123" t="s">
        <v>239</v>
      </c>
      <c r="E101" s="124" t="s">
        <v>203</v>
      </c>
      <c r="F101" s="120">
        <f>MC!G460</f>
        <v>1</v>
      </c>
      <c r="G101" s="120">
        <v>3990</v>
      </c>
      <c r="H101" s="120">
        <f t="shared" si="49"/>
        <v>4947.6000000000004</v>
      </c>
      <c r="I101" s="120">
        <f t="shared" si="50"/>
        <v>4947.6000000000004</v>
      </c>
    </row>
    <row r="102" spans="1:9" ht="26" x14ac:dyDescent="0.3">
      <c r="A102" s="117" t="s">
        <v>240</v>
      </c>
      <c r="B102" s="238" t="s">
        <v>241</v>
      </c>
      <c r="C102" s="239" t="s">
        <v>28</v>
      </c>
      <c r="D102" s="123" t="s">
        <v>242</v>
      </c>
      <c r="E102" s="124" t="s">
        <v>203</v>
      </c>
      <c r="F102" s="120">
        <f>MC!G465</f>
        <v>1</v>
      </c>
      <c r="G102" s="120">
        <v>1690</v>
      </c>
      <c r="H102" s="120">
        <f t="shared" si="49"/>
        <v>2095.6</v>
      </c>
      <c r="I102" s="120">
        <f t="shared" si="50"/>
        <v>2095.6</v>
      </c>
    </row>
    <row r="103" spans="1:9" ht="13" x14ac:dyDescent="0.3">
      <c r="A103" s="190" t="s">
        <v>243</v>
      </c>
      <c r="B103" s="248"/>
      <c r="C103" s="229"/>
      <c r="D103" s="207" t="s">
        <v>244</v>
      </c>
      <c r="E103" s="208"/>
      <c r="F103" s="209"/>
      <c r="G103" s="194"/>
      <c r="H103" s="195"/>
      <c r="I103" s="196"/>
    </row>
    <row r="104" spans="1:9" ht="69" customHeight="1" x14ac:dyDescent="0.3">
      <c r="A104" s="117" t="s">
        <v>245</v>
      </c>
      <c r="B104" s="238" t="s">
        <v>246</v>
      </c>
      <c r="C104" s="239" t="s">
        <v>28</v>
      </c>
      <c r="D104" s="123" t="s">
        <v>247</v>
      </c>
      <c r="E104" s="124" t="s">
        <v>25</v>
      </c>
      <c r="F104" s="120">
        <f>MC!G471</f>
        <v>17.89</v>
      </c>
      <c r="G104" s="120">
        <v>458.82</v>
      </c>
      <c r="H104" s="120">
        <f t="shared" si="49"/>
        <v>568.92999999999995</v>
      </c>
      <c r="I104" s="120">
        <f t="shared" si="50"/>
        <v>10178.15</v>
      </c>
    </row>
    <row r="105" spans="1:9" ht="13" x14ac:dyDescent="0.3">
      <c r="A105" s="259" t="s">
        <v>248</v>
      </c>
      <c r="B105" s="260"/>
      <c r="C105" s="260"/>
      <c r="D105" s="260"/>
      <c r="E105" s="260"/>
      <c r="F105" s="260"/>
      <c r="G105" s="260"/>
      <c r="H105" s="261"/>
      <c r="I105" s="126">
        <f>SUM(I11:I104)/2</f>
        <v>1376412.8</v>
      </c>
    </row>
    <row r="106" spans="1:9" x14ac:dyDescent="0.25">
      <c r="A106" s="258" t="s">
        <v>249</v>
      </c>
      <c r="B106" s="258"/>
      <c r="C106" s="258"/>
      <c r="D106" s="258"/>
      <c r="E106" s="258"/>
      <c r="F106" s="258"/>
      <c r="G106" s="258"/>
      <c r="H106" s="258"/>
      <c r="I106" s="258"/>
    </row>
    <row r="107" spans="1:9" x14ac:dyDescent="0.25">
      <c r="D107" s="30"/>
      <c r="I107" s="29">
        <f>I105*0.03</f>
        <v>41292.383999999998</v>
      </c>
    </row>
    <row r="108" spans="1:9" x14ac:dyDescent="0.25">
      <c r="D108" s="30"/>
    </row>
    <row r="109" spans="1:9" x14ac:dyDescent="0.25">
      <c r="D109" s="30"/>
    </row>
    <row r="110" spans="1:9" x14ac:dyDescent="0.25">
      <c r="D110" s="30"/>
      <c r="I110" s="29">
        <v>9519.8801999999996</v>
      </c>
    </row>
  </sheetData>
  <mergeCells count="18">
    <mergeCell ref="B7:F7"/>
    <mergeCell ref="G7:I7"/>
    <mergeCell ref="B6:F6"/>
    <mergeCell ref="G6:I6"/>
    <mergeCell ref="A106:I106"/>
    <mergeCell ref="A105:H105"/>
    <mergeCell ref="A1:I1"/>
    <mergeCell ref="A9:A10"/>
    <mergeCell ref="D9:D10"/>
    <mergeCell ref="E9:E10"/>
    <mergeCell ref="F9:F10"/>
    <mergeCell ref="G9:H9"/>
    <mergeCell ref="I9:I10"/>
    <mergeCell ref="A8:I8"/>
    <mergeCell ref="A2:I2"/>
    <mergeCell ref="A4:I5"/>
    <mergeCell ref="A3:I3"/>
    <mergeCell ref="B9:C9"/>
  </mergeCells>
  <phoneticPr fontId="0" type="noConversion"/>
  <pageMargins left="0.76197916666666665" right="0.74" top="0.79822916666666666" bottom="0.78740157480314965" header="0.39302083333333332" footer="0.51181102362204722"/>
  <pageSetup paperSize="9" scale="72" orientation="portrait" r:id="rId1"/>
  <headerFooter alignWithMargins="0">
    <oddFooter>&amp;C&amp;"-,Regular"Página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90CA0-02FA-46D5-A0BF-B4F3467C7AC7}">
  <sheetPr>
    <tabColor theme="3" tint="0.39997558519241921"/>
  </sheetPr>
  <dimension ref="A1:K16"/>
  <sheetViews>
    <sheetView showGridLines="0" zoomScaleNormal="100" zoomScaleSheetLayoutView="115" workbookViewId="0">
      <selection sqref="A1:G16"/>
    </sheetView>
  </sheetViews>
  <sheetFormatPr defaultColWidth="9.1796875" defaultRowHeight="13" x14ac:dyDescent="0.3"/>
  <cols>
    <col min="1" max="1" width="7.7265625" style="99" customWidth="1"/>
    <col min="2" max="2" width="9.1796875" style="99" customWidth="1"/>
    <col min="3" max="3" width="51.26953125" style="100" bestFit="1" customWidth="1"/>
    <col min="4" max="4" width="5.7265625" style="101" customWidth="1"/>
    <col min="5" max="5" width="11.1796875" style="102" customWidth="1"/>
    <col min="6" max="6" width="11.453125" style="102" customWidth="1"/>
    <col min="7" max="7" width="12.7265625" style="103" customWidth="1"/>
    <col min="8" max="8" width="15.54296875" style="102" customWidth="1"/>
    <col min="9" max="9" width="11.453125" style="64" customWidth="1"/>
    <col min="10" max="12" width="9.1796875" style="64" customWidth="1"/>
    <col min="13" max="16384" width="9.1796875" style="64"/>
  </cols>
  <sheetData>
    <row r="1" spans="1:11" x14ac:dyDescent="0.3">
      <c r="A1" s="65" t="s">
        <v>685</v>
      </c>
      <c r="B1" s="107"/>
      <c r="C1" s="66" t="s">
        <v>732</v>
      </c>
      <c r="D1" s="67"/>
      <c r="E1" s="67"/>
      <c r="F1" s="68" t="s">
        <v>686</v>
      </c>
      <c r="G1" s="69" t="s">
        <v>725</v>
      </c>
      <c r="H1" s="63"/>
      <c r="I1" s="60"/>
      <c r="J1" s="60"/>
      <c r="K1" s="62"/>
    </row>
    <row r="2" spans="1:11" ht="26.15" customHeight="1" x14ac:dyDescent="0.3">
      <c r="A2" s="70" t="s">
        <v>688</v>
      </c>
      <c r="B2" s="108"/>
      <c r="C2" s="373" t="s">
        <v>215</v>
      </c>
      <c r="D2" s="373"/>
      <c r="E2" s="373"/>
      <c r="F2" s="373"/>
      <c r="G2" s="374"/>
      <c r="H2" s="60"/>
      <c r="I2" s="62"/>
      <c r="J2" s="62"/>
      <c r="K2" s="62"/>
    </row>
    <row r="3" spans="1:11" x14ac:dyDescent="0.3">
      <c r="A3" s="71" t="s">
        <v>689</v>
      </c>
      <c r="B3" s="111" t="s">
        <v>690</v>
      </c>
      <c r="C3" s="71" t="s">
        <v>691</v>
      </c>
      <c r="D3" s="71" t="s">
        <v>692</v>
      </c>
      <c r="E3" s="71" t="s">
        <v>265</v>
      </c>
      <c r="F3" s="72" t="s">
        <v>693</v>
      </c>
      <c r="G3" s="73" t="s">
        <v>694</v>
      </c>
      <c r="H3" s="60"/>
      <c r="I3" s="61"/>
      <c r="J3" s="61"/>
      <c r="K3" s="62"/>
    </row>
    <row r="4" spans="1:11" x14ac:dyDescent="0.3">
      <c r="A4" s="74"/>
      <c r="B4" s="74"/>
      <c r="C4" s="74" t="s">
        <v>695</v>
      </c>
      <c r="D4" s="74"/>
      <c r="E4" s="74"/>
      <c r="F4" s="75"/>
      <c r="G4" s="76"/>
      <c r="H4" s="63"/>
      <c r="I4" s="60"/>
      <c r="J4" s="60"/>
      <c r="K4" s="62"/>
    </row>
    <row r="5" spans="1:11" ht="12.75" customHeight="1" x14ac:dyDescent="0.3">
      <c r="A5" s="85"/>
      <c r="B5" s="77"/>
      <c r="C5" s="106"/>
      <c r="D5" s="77"/>
      <c r="E5" s="79"/>
      <c r="F5" s="79"/>
      <c r="G5" s="81">
        <f t="shared" ref="G5" si="0">TRUNC((E5*F5),2)</f>
        <v>0</v>
      </c>
      <c r="H5" s="104"/>
      <c r="I5" s="60"/>
      <c r="J5" s="60"/>
      <c r="K5" s="62"/>
    </row>
    <row r="6" spans="1:11" x14ac:dyDescent="0.3">
      <c r="A6" s="74"/>
      <c r="B6" s="74"/>
      <c r="C6" s="74"/>
      <c r="D6" s="375" t="s">
        <v>700</v>
      </c>
      <c r="E6" s="376"/>
      <c r="F6" s="377"/>
      <c r="G6" s="82">
        <f>SUM(G5:G5)</f>
        <v>0</v>
      </c>
      <c r="H6" s="83"/>
    </row>
    <row r="7" spans="1:11" x14ac:dyDescent="0.3">
      <c r="A7" s="74"/>
      <c r="B7" s="74"/>
      <c r="C7" s="74" t="s">
        <v>726</v>
      </c>
      <c r="D7" s="74"/>
      <c r="E7" s="74"/>
      <c r="F7" s="75"/>
      <c r="G7" s="76"/>
      <c r="H7" s="84"/>
    </row>
    <row r="8" spans="1:11" ht="21" x14ac:dyDescent="0.3">
      <c r="A8" s="217">
        <v>21012</v>
      </c>
      <c r="B8" s="217" t="s">
        <v>727</v>
      </c>
      <c r="C8" s="218" t="s">
        <v>733</v>
      </c>
      <c r="D8" s="217" t="s">
        <v>734</v>
      </c>
      <c r="E8" s="219">
        <f>(4*9)+(1+1+1+1)+(0.8+0.8+0.8+0.8)+(0.4+0.4+0.4+0.4)</f>
        <v>44.800000000000004</v>
      </c>
      <c r="F8" s="220">
        <v>50.99</v>
      </c>
      <c r="G8" s="81">
        <f>TRUNC((E8*F8),2)</f>
        <v>2284.35</v>
      </c>
      <c r="H8" s="84"/>
    </row>
    <row r="9" spans="1:11" ht="21" x14ac:dyDescent="0.3">
      <c r="A9" s="217">
        <v>42243</v>
      </c>
      <c r="B9" s="217" t="s">
        <v>727</v>
      </c>
      <c r="C9" s="227" t="s">
        <v>735</v>
      </c>
      <c r="D9" s="217" t="s">
        <v>11</v>
      </c>
      <c r="E9" s="219">
        <v>4</v>
      </c>
      <c r="F9" s="220">
        <v>682.32</v>
      </c>
      <c r="G9" s="81">
        <f t="shared" ref="G9" si="1">TRUNC((E9*F9),2)</f>
        <v>2729.28</v>
      </c>
      <c r="H9" s="84"/>
    </row>
    <row r="10" spans="1:11" x14ac:dyDescent="0.3">
      <c r="A10" s="221"/>
      <c r="B10" s="221"/>
      <c r="C10" s="221"/>
      <c r="D10" s="221"/>
      <c r="E10" s="378" t="s">
        <v>705</v>
      </c>
      <c r="F10" s="379"/>
      <c r="G10" s="82">
        <f>SUM(G8:G9)</f>
        <v>5013.63</v>
      </c>
      <c r="H10" s="83"/>
    </row>
    <row r="11" spans="1:11" x14ac:dyDescent="0.3">
      <c r="A11" s="221"/>
      <c r="B11" s="221"/>
      <c r="C11" s="221" t="s">
        <v>661</v>
      </c>
      <c r="D11" s="221"/>
      <c r="E11" s="221"/>
      <c r="F11" s="222"/>
      <c r="G11" s="76"/>
      <c r="H11" s="84"/>
    </row>
    <row r="12" spans="1:11" ht="22.5" customHeight="1" x14ac:dyDescent="0.3">
      <c r="A12" s="223">
        <v>39746</v>
      </c>
      <c r="B12" s="217" t="s">
        <v>727</v>
      </c>
      <c r="C12" s="218" t="s">
        <v>736</v>
      </c>
      <c r="D12" s="217" t="s">
        <v>11</v>
      </c>
      <c r="E12" s="219">
        <v>1</v>
      </c>
      <c r="F12" s="224">
        <v>228.4</v>
      </c>
      <c r="G12" s="81">
        <f t="shared" ref="G12" si="2">TRUNC((E12*F12),2)</f>
        <v>228.4</v>
      </c>
      <c r="H12" s="84"/>
    </row>
    <row r="13" spans="1:11" x14ac:dyDescent="0.3">
      <c r="A13" s="74"/>
      <c r="B13" s="74"/>
      <c r="C13" s="74"/>
      <c r="D13" s="74"/>
      <c r="E13" s="375" t="s">
        <v>708</v>
      </c>
      <c r="F13" s="377"/>
      <c r="G13" s="82">
        <f>SUM(G12:G12)</f>
        <v>228.4</v>
      </c>
      <c r="H13" s="83"/>
    </row>
    <row r="14" spans="1:11" x14ac:dyDescent="0.3">
      <c r="A14" s="91"/>
      <c r="B14" s="88"/>
      <c r="C14" s="88"/>
      <c r="D14" s="88"/>
      <c r="E14" s="88"/>
      <c r="F14" s="89" t="s">
        <v>710</v>
      </c>
      <c r="G14" s="90">
        <f>G6+G10+G13</f>
        <v>5242.03</v>
      </c>
      <c r="H14" s="84"/>
    </row>
    <row r="15" spans="1:11" x14ac:dyDescent="0.3">
      <c r="A15" s="91"/>
      <c r="B15" s="92"/>
      <c r="C15" s="92"/>
      <c r="D15" s="92"/>
      <c r="E15" s="92"/>
      <c r="F15" s="84" t="s">
        <v>711</v>
      </c>
      <c r="G15" s="93">
        <f>ROUND((G14*0.24),2)</f>
        <v>1258.0899999999999</v>
      </c>
      <c r="H15" s="84"/>
    </row>
    <row r="16" spans="1:11" x14ac:dyDescent="0.3">
      <c r="A16" s="380" t="s">
        <v>737</v>
      </c>
      <c r="B16" s="381"/>
      <c r="C16" s="381"/>
      <c r="D16" s="95"/>
      <c r="E16" s="95"/>
      <c r="F16" s="96" t="s">
        <v>712</v>
      </c>
      <c r="G16" s="97">
        <f>SUM(G14:G15)</f>
        <v>6500.12</v>
      </c>
      <c r="H16" s="98"/>
    </row>
  </sheetData>
  <mergeCells count="5">
    <mergeCell ref="C2:G2"/>
    <mergeCell ref="D6:F6"/>
    <mergeCell ref="E10:F10"/>
    <mergeCell ref="E13:F13"/>
    <mergeCell ref="A16:C16"/>
  </mergeCells>
  <printOptions horizontalCentered="1"/>
  <pageMargins left="0.15748031496062992" right="0.15748031496062992" top="0.80625000000000002" bottom="0.63749999999999996" header="0.39370078740157483" footer="0.39370078740157483"/>
  <pageSetup paperSize="9" scale="90" orientation="portrait" r:id="rId1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5"/>
  <sheetViews>
    <sheetView view="pageBreakPreview" zoomScaleNormal="100" zoomScaleSheetLayoutView="100" workbookViewId="0">
      <selection activeCell="G3" sqref="G3"/>
    </sheetView>
  </sheetViews>
  <sheetFormatPr defaultColWidth="9.1796875" defaultRowHeight="12.5" x14ac:dyDescent="0.25"/>
  <cols>
    <col min="1" max="1" width="9.1796875" style="168"/>
    <col min="2" max="2" width="16.54296875" style="159" customWidth="1"/>
    <col min="3" max="3" width="9.1796875" style="168"/>
    <col min="4" max="4" width="10.7265625" style="168" customWidth="1"/>
    <col min="5" max="5" width="9.1796875" style="168"/>
    <col min="6" max="6" width="13.7265625" style="168" bestFit="1" customWidth="1"/>
    <col min="7" max="8" width="9.81640625" style="168" customWidth="1"/>
    <col min="9" max="9" width="10" style="159" bestFit="1" customWidth="1"/>
    <col min="10" max="16384" width="9.1796875" style="159"/>
  </cols>
  <sheetData>
    <row r="1" spans="1:9" ht="14" x14ac:dyDescent="0.3">
      <c r="A1" s="384" t="s">
        <v>738</v>
      </c>
      <c r="B1" s="384"/>
      <c r="C1" s="384"/>
      <c r="D1" s="384"/>
      <c r="E1" s="384"/>
      <c r="F1" s="384"/>
      <c r="G1" s="384"/>
      <c r="H1" s="384"/>
      <c r="I1" s="384"/>
    </row>
    <row r="3" spans="1:9" ht="13" x14ac:dyDescent="0.3">
      <c r="A3" s="385" t="s">
        <v>739</v>
      </c>
      <c r="B3" s="386"/>
      <c r="C3" s="387"/>
      <c r="D3" s="160"/>
      <c r="E3" s="160"/>
      <c r="F3" s="160"/>
      <c r="G3" s="160"/>
      <c r="H3" s="160"/>
      <c r="I3" s="161"/>
    </row>
    <row r="4" spans="1:9" ht="13" x14ac:dyDescent="0.3">
      <c r="A4" s="382" t="s">
        <v>740</v>
      </c>
      <c r="B4" s="383"/>
      <c r="C4" s="162">
        <v>1.1938</v>
      </c>
      <c r="D4" s="160"/>
      <c r="E4" s="160"/>
      <c r="F4" s="169" t="s">
        <v>741</v>
      </c>
      <c r="G4" s="169">
        <f>I14</f>
        <v>24.08</v>
      </c>
      <c r="H4" s="160"/>
      <c r="I4" s="161"/>
    </row>
    <row r="5" spans="1:9" x14ac:dyDescent="0.25">
      <c r="A5" s="382" t="s">
        <v>742</v>
      </c>
      <c r="B5" s="383"/>
      <c r="C5" s="162">
        <v>0.73699999999999999</v>
      </c>
      <c r="D5" s="160" t="s">
        <v>671</v>
      </c>
      <c r="E5" s="160"/>
      <c r="F5" s="160"/>
      <c r="G5" s="160"/>
      <c r="H5" s="160"/>
      <c r="I5" s="161"/>
    </row>
    <row r="6" spans="1:9" x14ac:dyDescent="0.25">
      <c r="A6" s="160"/>
      <c r="B6" s="161"/>
      <c r="C6" s="160"/>
      <c r="D6" s="160"/>
      <c r="E6" s="160"/>
      <c r="F6" s="160"/>
      <c r="G6" s="160"/>
      <c r="H6" s="160"/>
      <c r="I6" s="161"/>
    </row>
    <row r="7" spans="1:9" ht="52.5" x14ac:dyDescent="0.25">
      <c r="A7" s="163" t="s">
        <v>743</v>
      </c>
      <c r="B7" s="164" t="s">
        <v>744</v>
      </c>
      <c r="C7" s="163" t="s">
        <v>698</v>
      </c>
      <c r="D7" s="163" t="s">
        <v>745</v>
      </c>
      <c r="E7" s="163" t="s">
        <v>746</v>
      </c>
      <c r="F7" s="163" t="s">
        <v>668</v>
      </c>
      <c r="G7" s="163" t="s">
        <v>747</v>
      </c>
      <c r="H7" s="163" t="s">
        <v>748</v>
      </c>
      <c r="I7" s="163" t="s">
        <v>668</v>
      </c>
    </row>
    <row r="8" spans="1:9" ht="20.5" x14ac:dyDescent="0.25">
      <c r="A8" s="165">
        <v>88237</v>
      </c>
      <c r="B8" s="166" t="s">
        <v>749</v>
      </c>
      <c r="C8" s="165" t="s">
        <v>698</v>
      </c>
      <c r="D8" s="165">
        <v>0.05</v>
      </c>
      <c r="E8" s="165">
        <v>0.81</v>
      </c>
      <c r="F8" s="165">
        <f>D8*E8</f>
        <v>4.0500000000000008E-2</v>
      </c>
      <c r="G8" s="165">
        <f>F8</f>
        <v>4.0500000000000008E-2</v>
      </c>
      <c r="H8" s="165"/>
      <c r="I8" s="165">
        <f>D8*E8</f>
        <v>4.0500000000000008E-2</v>
      </c>
    </row>
    <row r="9" spans="1:9" ht="20.5" x14ac:dyDescent="0.25">
      <c r="A9" s="165">
        <v>4083</v>
      </c>
      <c r="B9" s="166" t="s">
        <v>750</v>
      </c>
      <c r="C9" s="165" t="s">
        <v>698</v>
      </c>
      <c r="D9" s="165">
        <v>1</v>
      </c>
      <c r="E9" s="165">
        <v>27.37</v>
      </c>
      <c r="F9" s="165">
        <f t="shared" ref="F9:F13" si="0">D9*E9</f>
        <v>27.37</v>
      </c>
      <c r="G9" s="165">
        <f>F9/(1+C4)</f>
        <v>12.476068921506062</v>
      </c>
      <c r="H9" s="165">
        <f>G9*(1+C5)</f>
        <v>21.670931716656032</v>
      </c>
      <c r="I9" s="165">
        <f>D9*H9</f>
        <v>21.670931716656032</v>
      </c>
    </row>
    <row r="10" spans="1:9" ht="40.5" x14ac:dyDescent="0.25">
      <c r="A10" s="165">
        <v>37370</v>
      </c>
      <c r="B10" s="166" t="s">
        <v>751</v>
      </c>
      <c r="C10" s="165" t="s">
        <v>698</v>
      </c>
      <c r="D10" s="165">
        <v>1</v>
      </c>
      <c r="E10" s="165">
        <v>1.77</v>
      </c>
      <c r="F10" s="165">
        <f t="shared" si="0"/>
        <v>1.77</v>
      </c>
      <c r="G10" s="165">
        <f t="shared" ref="G10:G13" si="1">F10</f>
        <v>1.77</v>
      </c>
      <c r="H10" s="165"/>
      <c r="I10" s="165">
        <f>D10*E10</f>
        <v>1.77</v>
      </c>
    </row>
    <row r="11" spans="1:9" ht="40.5" x14ac:dyDescent="0.25">
      <c r="A11" s="165">
        <v>37371</v>
      </c>
      <c r="B11" s="166" t="s">
        <v>752</v>
      </c>
      <c r="C11" s="165" t="s">
        <v>698</v>
      </c>
      <c r="D11" s="165">
        <v>1</v>
      </c>
      <c r="E11" s="165">
        <v>0.38</v>
      </c>
      <c r="F11" s="165">
        <f t="shared" si="0"/>
        <v>0.38</v>
      </c>
      <c r="G11" s="165">
        <f t="shared" si="1"/>
        <v>0.38</v>
      </c>
      <c r="H11" s="165"/>
      <c r="I11" s="165">
        <f t="shared" ref="I11:I13" si="2">D11*E11</f>
        <v>0.38</v>
      </c>
    </row>
    <row r="12" spans="1:9" ht="30.5" x14ac:dyDescent="0.25">
      <c r="A12" s="165">
        <v>37372</v>
      </c>
      <c r="B12" s="166" t="s">
        <v>753</v>
      </c>
      <c r="C12" s="165" t="s">
        <v>698</v>
      </c>
      <c r="D12" s="165">
        <v>1</v>
      </c>
      <c r="E12" s="165">
        <v>0.18</v>
      </c>
      <c r="F12" s="165">
        <f t="shared" si="0"/>
        <v>0.18</v>
      </c>
      <c r="G12" s="165">
        <f t="shared" si="1"/>
        <v>0.18</v>
      </c>
      <c r="H12" s="165"/>
      <c r="I12" s="165">
        <f t="shared" si="2"/>
        <v>0.18</v>
      </c>
    </row>
    <row r="13" spans="1:9" ht="30.5" x14ac:dyDescent="0.25">
      <c r="A13" s="165">
        <v>37373</v>
      </c>
      <c r="B13" s="166" t="s">
        <v>754</v>
      </c>
      <c r="C13" s="165" t="s">
        <v>698</v>
      </c>
      <c r="D13" s="165">
        <v>1</v>
      </c>
      <c r="E13" s="165">
        <v>0.04</v>
      </c>
      <c r="F13" s="165">
        <f t="shared" si="0"/>
        <v>0.04</v>
      </c>
      <c r="G13" s="165">
        <f t="shared" si="1"/>
        <v>0.04</v>
      </c>
      <c r="H13" s="165"/>
      <c r="I13" s="165">
        <f t="shared" si="2"/>
        <v>0.04</v>
      </c>
    </row>
    <row r="14" spans="1:9" x14ac:dyDescent="0.25">
      <c r="A14" s="165"/>
      <c r="B14" s="166"/>
      <c r="C14" s="165"/>
      <c r="D14" s="165"/>
      <c r="E14" s="165"/>
      <c r="F14" s="165">
        <f>SUM(F8:F13)</f>
        <v>29.7805</v>
      </c>
      <c r="G14" s="165"/>
      <c r="H14" s="165"/>
      <c r="I14" s="167">
        <f>ROUND(SUM(I8:I13),2)</f>
        <v>24.08</v>
      </c>
    </row>
    <row r="15" spans="1:9" hidden="1" x14ac:dyDescent="0.25">
      <c r="A15" s="388"/>
      <c r="B15" s="389"/>
      <c r="C15" s="389"/>
      <c r="D15" s="389"/>
      <c r="E15" s="389"/>
      <c r="F15" s="389"/>
      <c r="G15" s="389"/>
      <c r="H15" s="389"/>
      <c r="I15" s="390"/>
    </row>
    <row r="16" spans="1:9" ht="13" hidden="1" x14ac:dyDescent="0.3">
      <c r="A16" s="385" t="s">
        <v>755</v>
      </c>
      <c r="B16" s="386"/>
      <c r="C16" s="386"/>
      <c r="D16" s="386"/>
      <c r="E16" s="387"/>
      <c r="F16" s="160"/>
      <c r="G16" s="160"/>
      <c r="H16" s="160"/>
      <c r="I16" s="161"/>
    </row>
    <row r="17" spans="1:9" hidden="1" x14ac:dyDescent="0.25">
      <c r="A17" s="382" t="s">
        <v>740</v>
      </c>
      <c r="B17" s="383"/>
      <c r="C17" s="162">
        <v>1.1937</v>
      </c>
      <c r="D17" s="160"/>
      <c r="E17" s="160"/>
      <c r="F17" s="160" t="s">
        <v>741</v>
      </c>
      <c r="G17" s="160">
        <f>I25</f>
        <v>53.27</v>
      </c>
      <c r="H17" s="160"/>
      <c r="I17" s="161"/>
    </row>
    <row r="18" spans="1:9" hidden="1" x14ac:dyDescent="0.25">
      <c r="A18" s="382" t="s">
        <v>742</v>
      </c>
      <c r="B18" s="383"/>
      <c r="C18" s="162">
        <v>0.73599999999999999</v>
      </c>
      <c r="D18" s="160" t="s">
        <v>671</v>
      </c>
      <c r="E18" s="160"/>
      <c r="F18" s="160"/>
      <c r="G18" s="160"/>
      <c r="H18" s="160"/>
      <c r="I18" s="161"/>
    </row>
    <row r="19" spans="1:9" hidden="1" x14ac:dyDescent="0.25">
      <c r="A19" s="160"/>
      <c r="B19" s="161"/>
      <c r="C19" s="160"/>
      <c r="D19" s="160"/>
      <c r="E19" s="160"/>
      <c r="F19" s="160"/>
      <c r="G19" s="160"/>
      <c r="H19" s="160"/>
      <c r="I19" s="161"/>
    </row>
    <row r="20" spans="1:9" ht="52.5" hidden="1" x14ac:dyDescent="0.25">
      <c r="A20" s="163" t="s">
        <v>743</v>
      </c>
      <c r="B20" s="164" t="s">
        <v>744</v>
      </c>
      <c r="C20" s="163" t="s">
        <v>698</v>
      </c>
      <c r="D20" s="163" t="s">
        <v>745</v>
      </c>
      <c r="E20" s="163" t="s">
        <v>746</v>
      </c>
      <c r="F20" s="163" t="s">
        <v>668</v>
      </c>
      <c r="G20" s="163" t="s">
        <v>756</v>
      </c>
      <c r="H20" s="163" t="s">
        <v>757</v>
      </c>
      <c r="I20" s="163" t="s">
        <v>668</v>
      </c>
    </row>
    <row r="21" spans="1:9" ht="20.5" hidden="1" x14ac:dyDescent="0.25">
      <c r="A21" s="165">
        <v>88237</v>
      </c>
      <c r="B21" s="166" t="s">
        <v>749</v>
      </c>
      <c r="C21" s="165" t="s">
        <v>698</v>
      </c>
      <c r="D21" s="165">
        <v>0.05</v>
      </c>
      <c r="E21" s="165">
        <v>0.44</v>
      </c>
      <c r="F21" s="165">
        <f>D21*E21</f>
        <v>2.2000000000000002E-2</v>
      </c>
      <c r="G21" s="165">
        <f>F21</f>
        <v>2.2000000000000002E-2</v>
      </c>
      <c r="H21" s="165"/>
      <c r="I21" s="165">
        <f>D21*E21</f>
        <v>2.2000000000000002E-2</v>
      </c>
    </row>
    <row r="22" spans="1:9" ht="20.5" hidden="1" x14ac:dyDescent="0.25">
      <c r="A22" s="165">
        <v>2706</v>
      </c>
      <c r="B22" s="166" t="s">
        <v>758</v>
      </c>
      <c r="C22" s="165" t="s">
        <v>698</v>
      </c>
      <c r="D22" s="165">
        <v>1</v>
      </c>
      <c r="E22" s="165">
        <v>67.010000000000005</v>
      </c>
      <c r="F22" s="165">
        <f t="shared" ref="F22:F24" si="3">D22*E22</f>
        <v>67.010000000000005</v>
      </c>
      <c r="G22" s="165">
        <f>F22/(1+C17)</f>
        <v>30.546565163878384</v>
      </c>
      <c r="H22" s="165">
        <f>G22*(1+C18)</f>
        <v>53.028837124492874</v>
      </c>
      <c r="I22" s="165">
        <f>D22*H22</f>
        <v>53.028837124492874</v>
      </c>
    </row>
    <row r="23" spans="1:9" ht="30.5" hidden="1" x14ac:dyDescent="0.25">
      <c r="A23" s="165">
        <v>37372</v>
      </c>
      <c r="B23" s="166" t="s">
        <v>753</v>
      </c>
      <c r="C23" s="165" t="s">
        <v>698</v>
      </c>
      <c r="D23" s="165">
        <v>1</v>
      </c>
      <c r="E23" s="165">
        <v>0.18</v>
      </c>
      <c r="F23" s="165">
        <f t="shared" si="3"/>
        <v>0.18</v>
      </c>
      <c r="G23" s="165">
        <f t="shared" ref="G23:G24" si="4">F23</f>
        <v>0.18</v>
      </c>
      <c r="H23" s="165"/>
      <c r="I23" s="165">
        <f>D23*E23</f>
        <v>0.18</v>
      </c>
    </row>
    <row r="24" spans="1:9" ht="30.5" hidden="1" x14ac:dyDescent="0.25">
      <c r="A24" s="165">
        <v>37373</v>
      </c>
      <c r="B24" s="166" t="s">
        <v>754</v>
      </c>
      <c r="C24" s="165" t="s">
        <v>698</v>
      </c>
      <c r="D24" s="165">
        <v>1</v>
      </c>
      <c r="E24" s="165">
        <v>0.04</v>
      </c>
      <c r="F24" s="165">
        <f t="shared" si="3"/>
        <v>0.04</v>
      </c>
      <c r="G24" s="165">
        <f t="shared" si="4"/>
        <v>0.04</v>
      </c>
      <c r="H24" s="165"/>
      <c r="I24" s="165">
        <f t="shared" ref="I24" si="5">D24*E24</f>
        <v>0.04</v>
      </c>
    </row>
    <row r="25" spans="1:9" hidden="1" x14ac:dyDescent="0.25">
      <c r="A25" s="165"/>
      <c r="B25" s="166"/>
      <c r="C25" s="165"/>
      <c r="D25" s="165"/>
      <c r="E25" s="165"/>
      <c r="F25" s="165">
        <f>SUM(F21:F24)</f>
        <v>67.252000000000024</v>
      </c>
      <c r="G25" s="165"/>
      <c r="H25" s="165"/>
      <c r="I25" s="167">
        <f>ROUND(SUM(I21:I24),2)</f>
        <v>53.27</v>
      </c>
    </row>
  </sheetData>
  <mergeCells count="8">
    <mergeCell ref="A17:B17"/>
    <mergeCell ref="A18:B18"/>
    <mergeCell ref="A1:I1"/>
    <mergeCell ref="A3:C3"/>
    <mergeCell ref="A4:B4"/>
    <mergeCell ref="A5:B5"/>
    <mergeCell ref="A15:I15"/>
    <mergeCell ref="A16:E16"/>
  </mergeCells>
  <printOptions horizontalCentered="1"/>
  <pageMargins left="0.50468749999999996" right="0.51181102362204722" top="1.1811023622047245" bottom="0.78740157480314965" header="0.31496062992125984" footer="0.31496062992125984"/>
  <pageSetup paperSize="9" scale="95" orientation="portrait" horizontalDpi="1200" verticalDpi="1200" r:id="rId1"/>
  <headerFooter>
    <oddFooter>&amp;C&amp;G&amp;R&amp;P/&amp;N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75AE9-8866-40B4-8455-CF2700DD8093}">
  <dimension ref="A1:G10"/>
  <sheetViews>
    <sheetView workbookViewId="0">
      <selection activeCell="C6" sqref="C6"/>
    </sheetView>
  </sheetViews>
  <sheetFormatPr defaultRowHeight="12.5" x14ac:dyDescent="0.25"/>
  <cols>
    <col min="1" max="1" width="12.7265625" customWidth="1"/>
    <col min="2" max="2" width="19.1796875" customWidth="1"/>
  </cols>
  <sheetData>
    <row r="1" spans="1:7" ht="15.5" x14ac:dyDescent="0.35">
      <c r="A1" s="287" t="s">
        <v>250</v>
      </c>
      <c r="B1" s="287"/>
      <c r="C1" s="287"/>
      <c r="D1" s="287"/>
      <c r="E1" s="287"/>
      <c r="F1" s="287"/>
      <c r="G1" s="287"/>
    </row>
    <row r="3" spans="1:7" ht="15.5" x14ac:dyDescent="0.35">
      <c r="A3" s="286" t="s">
        <v>251</v>
      </c>
      <c r="B3" s="286"/>
      <c r="C3" s="216" t="s">
        <v>252</v>
      </c>
    </row>
    <row r="4" spans="1:7" ht="15.5" x14ac:dyDescent="0.35">
      <c r="A4" s="286" t="s">
        <v>253</v>
      </c>
      <c r="B4" s="286"/>
      <c r="C4" s="216" t="s">
        <v>254</v>
      </c>
    </row>
    <row r="5" spans="1:7" ht="15.5" x14ac:dyDescent="0.35">
      <c r="A5" s="286" t="s">
        <v>255</v>
      </c>
      <c r="B5" s="286"/>
      <c r="C5" s="216" t="s">
        <v>256</v>
      </c>
    </row>
    <row r="6" spans="1:7" ht="15.5" x14ac:dyDescent="0.35">
      <c r="A6" s="286" t="s">
        <v>257</v>
      </c>
      <c r="B6" s="286"/>
      <c r="C6" s="216" t="s">
        <v>258</v>
      </c>
    </row>
    <row r="7" spans="1:7" ht="15.5" x14ac:dyDescent="0.35">
      <c r="A7" s="286"/>
      <c r="B7" s="286"/>
    </row>
    <row r="8" spans="1:7" ht="15.5" x14ac:dyDescent="0.35">
      <c r="A8" s="286"/>
      <c r="B8" s="286"/>
    </row>
    <row r="9" spans="1:7" ht="15.5" x14ac:dyDescent="0.35">
      <c r="A9" s="286"/>
      <c r="B9" s="286"/>
    </row>
    <row r="10" spans="1:7" ht="15.5" x14ac:dyDescent="0.35">
      <c r="A10" s="286"/>
      <c r="B10" s="286"/>
    </row>
  </sheetData>
  <mergeCells count="9">
    <mergeCell ref="A8:B8"/>
    <mergeCell ref="A9:B9"/>
    <mergeCell ref="A10:B10"/>
    <mergeCell ref="A1:G1"/>
    <mergeCell ref="A3:B3"/>
    <mergeCell ref="A4:B4"/>
    <mergeCell ref="A5:B5"/>
    <mergeCell ref="A6:B6"/>
    <mergeCell ref="A7:B7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126F2-23A3-4A88-8D7D-33DA34D21C22}">
  <dimension ref="A1"/>
  <sheetViews>
    <sheetView workbookViewId="0"/>
  </sheetViews>
  <sheetFormatPr defaultRowHeight="12.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2"/>
  <dimension ref="A1:P196"/>
  <sheetViews>
    <sheetView zoomScaleNormal="100" workbookViewId="0">
      <selection activeCell="E185" sqref="E185"/>
    </sheetView>
  </sheetViews>
  <sheetFormatPr defaultColWidth="11.453125" defaultRowHeight="12.5" x14ac:dyDescent="0.25"/>
  <cols>
    <col min="1" max="1" width="7" style="2" customWidth="1"/>
    <col min="2" max="2" width="9.453125" style="2" bestFit="1" customWidth="1"/>
    <col min="3" max="3" width="40.7265625" style="28" customWidth="1"/>
    <col min="4" max="4" width="5.7265625" style="4" customWidth="1"/>
    <col min="5" max="5" width="9.7265625" style="29" customWidth="1"/>
    <col min="6" max="6" width="11.453125" style="29" customWidth="1"/>
    <col min="7" max="7" width="13.54296875" style="29" customWidth="1"/>
    <col min="8" max="12" width="11.453125" hidden="1" customWidth="1"/>
  </cols>
  <sheetData>
    <row r="1" spans="1:14" ht="15.5" x14ac:dyDescent="0.35">
      <c r="A1" s="288" t="str">
        <f>MC!A1</f>
        <v>PREFEITURA MUNICIPAL DE BOM CONSELHO</v>
      </c>
      <c r="B1" s="289"/>
      <c r="C1" s="289"/>
      <c r="D1" s="289"/>
      <c r="E1" s="289"/>
      <c r="F1" s="289"/>
      <c r="G1" s="289"/>
    </row>
    <row r="2" spans="1:14" ht="15.5" x14ac:dyDescent="0.35">
      <c r="A2" s="288" t="s">
        <v>259</v>
      </c>
      <c r="B2" s="289"/>
      <c r="C2" s="289"/>
      <c r="D2" s="289"/>
      <c r="E2" s="289"/>
      <c r="F2" s="289"/>
      <c r="G2" s="289"/>
    </row>
    <row r="3" spans="1:14" ht="13" x14ac:dyDescent="0.25">
      <c r="A3" s="1"/>
      <c r="B3" s="1"/>
      <c r="C3" s="59"/>
      <c r="D3"/>
      <c r="E3"/>
      <c r="F3"/>
      <c r="G3"/>
    </row>
    <row r="4" spans="1:14" x14ac:dyDescent="0.25">
      <c r="A4" s="1" t="s">
        <v>2</v>
      </c>
      <c r="B4" s="1"/>
      <c r="C4" s="290" t="str">
        <f>MC!B6</f>
        <v>REFORMA E REVITALIZAÇÃO DO CENTRO DE LAZER MUNICIPAL (BEIRA RIO)</v>
      </c>
      <c r="D4" s="291"/>
      <c r="E4" s="291"/>
      <c r="F4" s="291"/>
      <c r="G4" s="291"/>
    </row>
    <row r="5" spans="1:14" x14ac:dyDescent="0.25">
      <c r="A5" s="1" t="s">
        <v>5</v>
      </c>
      <c r="B5" s="1"/>
      <c r="C5" s="292" t="str">
        <f>MC!B7</f>
        <v>BOM CONSELHO/PE</v>
      </c>
      <c r="D5" s="291"/>
      <c r="E5" s="291"/>
      <c r="F5" s="3" t="s">
        <v>260</v>
      </c>
      <c r="G5" s="293">
        <f>MC!G7</f>
        <v>0</v>
      </c>
      <c r="H5" s="291"/>
      <c r="I5" s="291"/>
    </row>
    <row r="6" spans="1:14" x14ac:dyDescent="0.25">
      <c r="E6" s="5"/>
      <c r="F6" s="5">
        <f>TRUNC(M6*1.372,2)</f>
        <v>0</v>
      </c>
      <c r="G6" s="5"/>
    </row>
    <row r="7" spans="1:14" ht="13" x14ac:dyDescent="0.3">
      <c r="A7" s="6" t="s">
        <v>261</v>
      </c>
      <c r="B7" s="6" t="s">
        <v>262</v>
      </c>
      <c r="C7" s="7" t="s">
        <v>263</v>
      </c>
      <c r="D7" s="8" t="s">
        <v>264</v>
      </c>
      <c r="E7" s="9" t="s">
        <v>265</v>
      </c>
      <c r="F7" s="9" t="s">
        <v>266</v>
      </c>
      <c r="G7" s="9" t="s">
        <v>267</v>
      </c>
      <c r="M7" s="33" t="s">
        <v>268</v>
      </c>
      <c r="N7" s="33" t="s">
        <v>269</v>
      </c>
    </row>
    <row r="8" spans="1:14" ht="13" x14ac:dyDescent="0.3">
      <c r="A8" s="10" t="s">
        <v>19</v>
      </c>
      <c r="B8" s="10"/>
      <c r="C8" s="11" t="s">
        <v>270</v>
      </c>
      <c r="D8" s="12"/>
      <c r="E8" s="13"/>
      <c r="F8" s="13"/>
      <c r="G8" s="27" t="e">
        <f>SUM(G9:G30)</f>
        <v>#REF!</v>
      </c>
      <c r="M8" s="14"/>
    </row>
    <row r="9" spans="1:14" ht="40" x14ac:dyDescent="0.25">
      <c r="A9" s="36"/>
      <c r="B9" s="52" t="s">
        <v>271</v>
      </c>
      <c r="C9" s="38" t="s">
        <v>272</v>
      </c>
      <c r="D9" s="32" t="s">
        <v>25</v>
      </c>
      <c r="E9" s="31" t="e">
        <f>MC!#REF!</f>
        <v>#REF!</v>
      </c>
      <c r="F9" s="31">
        <f>ROUND(M9*1.24,2)</f>
        <v>0.57999999999999996</v>
      </c>
      <c r="G9" s="13" t="e">
        <f>ROUND(F9*E9,2)</f>
        <v>#REF!</v>
      </c>
      <c r="M9" s="14">
        <v>0.47</v>
      </c>
      <c r="N9" s="5"/>
    </row>
    <row r="10" spans="1:14" ht="40" x14ac:dyDescent="0.25">
      <c r="A10" s="36"/>
      <c r="B10" s="52" t="s">
        <v>273</v>
      </c>
      <c r="C10" s="38" t="s">
        <v>274</v>
      </c>
      <c r="D10" s="32" t="s">
        <v>25</v>
      </c>
      <c r="E10" s="31" t="e">
        <f>MC!#REF!</f>
        <v>#REF!</v>
      </c>
      <c r="F10" s="31">
        <f t="shared" ref="F10:F73" si="0">ROUND(M10*1.24,2)</f>
        <v>2.02</v>
      </c>
      <c r="G10" s="13" t="e">
        <f t="shared" ref="G10:G76" si="1">ROUND(F10*E10,2)</f>
        <v>#REF!</v>
      </c>
      <c r="M10" s="14">
        <v>1.63</v>
      </c>
      <c r="N10" s="5"/>
    </row>
    <row r="11" spans="1:14" ht="40" x14ac:dyDescent="0.25">
      <c r="A11" s="36"/>
      <c r="B11" s="52" t="s">
        <v>275</v>
      </c>
      <c r="C11" s="38" t="s">
        <v>276</v>
      </c>
      <c r="D11" s="32" t="s">
        <v>25</v>
      </c>
      <c r="E11" s="31">
        <f>MC!G14</f>
        <v>6</v>
      </c>
      <c r="F11" s="31">
        <f t="shared" si="0"/>
        <v>340.55</v>
      </c>
      <c r="G11" s="13">
        <f t="shared" si="1"/>
        <v>2043.3</v>
      </c>
      <c r="M11" s="16">
        <v>274.64</v>
      </c>
      <c r="N11" s="5"/>
    </row>
    <row r="12" spans="1:14" ht="40" x14ac:dyDescent="0.25">
      <c r="A12" s="36"/>
      <c r="B12" s="52" t="s">
        <v>277</v>
      </c>
      <c r="C12" s="38" t="s">
        <v>278</v>
      </c>
      <c r="D12" s="32" t="s">
        <v>25</v>
      </c>
      <c r="E12" s="31" t="e">
        <f>MC!#REF!</f>
        <v>#REF!</v>
      </c>
      <c r="F12" s="31">
        <f t="shared" si="0"/>
        <v>6.41</v>
      </c>
      <c r="G12" s="13" t="e">
        <f t="shared" si="1"/>
        <v>#REF!</v>
      </c>
      <c r="M12" s="16">
        <v>5.17</v>
      </c>
      <c r="N12" s="5"/>
    </row>
    <row r="13" spans="1:14" ht="40" x14ac:dyDescent="0.25">
      <c r="A13" s="36"/>
      <c r="B13" s="52" t="s">
        <v>279</v>
      </c>
      <c r="C13" s="38" t="s">
        <v>280</v>
      </c>
      <c r="D13" s="32" t="s">
        <v>25</v>
      </c>
      <c r="E13" s="31" t="e">
        <f>MC!#REF!</f>
        <v>#REF!</v>
      </c>
      <c r="F13" s="31">
        <f t="shared" si="0"/>
        <v>189.62</v>
      </c>
      <c r="G13" s="13" t="e">
        <f t="shared" si="1"/>
        <v>#REF!</v>
      </c>
      <c r="M13" s="16">
        <v>152.91999999999999</v>
      </c>
      <c r="N13" s="5"/>
    </row>
    <row r="14" spans="1:14" ht="75" x14ac:dyDescent="0.25">
      <c r="A14" s="36"/>
      <c r="B14" s="52" t="s">
        <v>281</v>
      </c>
      <c r="C14" s="38" t="s">
        <v>282</v>
      </c>
      <c r="D14" s="32" t="s">
        <v>25</v>
      </c>
      <c r="E14" s="31" t="e">
        <f>MC!#REF!</f>
        <v>#REF!</v>
      </c>
      <c r="F14" s="31">
        <f t="shared" si="0"/>
        <v>192.81</v>
      </c>
      <c r="G14" s="13" t="e">
        <f t="shared" si="1"/>
        <v>#REF!</v>
      </c>
      <c r="M14" s="16">
        <v>155.49</v>
      </c>
      <c r="N14" s="5"/>
    </row>
    <row r="15" spans="1:14" ht="50" x14ac:dyDescent="0.25">
      <c r="A15" s="36"/>
      <c r="B15" s="52" t="s">
        <v>283</v>
      </c>
      <c r="C15" s="38" t="s">
        <v>284</v>
      </c>
      <c r="D15" s="32" t="s">
        <v>25</v>
      </c>
      <c r="E15" s="31" t="e">
        <f>MC!#REF!</f>
        <v>#REF!</v>
      </c>
      <c r="F15" s="31">
        <f t="shared" si="0"/>
        <v>246.45</v>
      </c>
      <c r="G15" s="13" t="e">
        <f t="shared" si="1"/>
        <v>#REF!</v>
      </c>
      <c r="M15" s="16">
        <v>198.75</v>
      </c>
      <c r="N15" s="5"/>
    </row>
    <row r="16" spans="1:14" ht="62.5" x14ac:dyDescent="0.25">
      <c r="A16" s="36"/>
      <c r="B16" s="52" t="s">
        <v>285</v>
      </c>
      <c r="C16" s="38" t="s">
        <v>286</v>
      </c>
      <c r="D16" s="32" t="s">
        <v>25</v>
      </c>
      <c r="E16" s="31" t="e">
        <f>MC!#REF!</f>
        <v>#REF!</v>
      </c>
      <c r="F16" s="31">
        <f t="shared" si="0"/>
        <v>190.92</v>
      </c>
      <c r="G16" s="13" t="e">
        <f t="shared" si="1"/>
        <v>#REF!</v>
      </c>
      <c r="M16" s="16">
        <v>153.97</v>
      </c>
      <c r="N16" s="5"/>
    </row>
    <row r="17" spans="1:15" ht="40" x14ac:dyDescent="0.25">
      <c r="A17" s="36"/>
      <c r="B17" s="52" t="s">
        <v>287</v>
      </c>
      <c r="C17" s="38" t="s">
        <v>288</v>
      </c>
      <c r="D17" s="32" t="s">
        <v>25</v>
      </c>
      <c r="E17" s="31" t="e">
        <f>MC!#REF!</f>
        <v>#REF!</v>
      </c>
      <c r="F17" s="31">
        <f t="shared" si="0"/>
        <v>37.35</v>
      </c>
      <c r="G17" s="13" t="e">
        <f t="shared" si="1"/>
        <v>#REF!</v>
      </c>
      <c r="M17" s="16">
        <v>30.12</v>
      </c>
      <c r="N17" s="5"/>
    </row>
    <row r="18" spans="1:15" ht="40" x14ac:dyDescent="0.25">
      <c r="A18" s="36"/>
      <c r="B18" s="52" t="s">
        <v>289</v>
      </c>
      <c r="C18" s="38" t="s">
        <v>290</v>
      </c>
      <c r="D18" s="32" t="s">
        <v>25</v>
      </c>
      <c r="E18" s="31" t="e">
        <f>MC!#REF!</f>
        <v>#REF!</v>
      </c>
      <c r="F18" s="31">
        <f t="shared" si="0"/>
        <v>4.04</v>
      </c>
      <c r="G18" s="13" t="e">
        <f t="shared" si="1"/>
        <v>#REF!</v>
      </c>
      <c r="M18" s="16">
        <v>3.26</v>
      </c>
      <c r="N18" s="5"/>
    </row>
    <row r="19" spans="1:15" ht="40" x14ac:dyDescent="0.25">
      <c r="A19" s="36"/>
      <c r="B19" s="52" t="s">
        <v>291</v>
      </c>
      <c r="C19" s="38" t="s">
        <v>292</v>
      </c>
      <c r="D19" s="32" t="s">
        <v>25</v>
      </c>
      <c r="E19" s="31" t="e">
        <f>MC!#REF!</f>
        <v>#REF!</v>
      </c>
      <c r="F19" s="31">
        <f t="shared" si="0"/>
        <v>2.83</v>
      </c>
      <c r="G19" s="13" t="e">
        <f t="shared" si="1"/>
        <v>#REF!</v>
      </c>
      <c r="M19" s="16">
        <v>2.2799999999999998</v>
      </c>
      <c r="N19" s="5"/>
    </row>
    <row r="20" spans="1:15" ht="40" x14ac:dyDescent="0.25">
      <c r="A20" s="36"/>
      <c r="B20" s="52" t="s">
        <v>293</v>
      </c>
      <c r="C20" s="38" t="s">
        <v>294</v>
      </c>
      <c r="D20" s="32" t="s">
        <v>25</v>
      </c>
      <c r="E20" s="31" t="e">
        <f>MC!#REF!</f>
        <v>#REF!</v>
      </c>
      <c r="F20" s="31">
        <f t="shared" si="0"/>
        <v>5.65</v>
      </c>
      <c r="G20" s="13" t="e">
        <f t="shared" si="1"/>
        <v>#REF!</v>
      </c>
      <c r="M20" s="16">
        <v>4.5599999999999996</v>
      </c>
      <c r="N20" s="5"/>
    </row>
    <row r="21" spans="1:15" ht="40" x14ac:dyDescent="0.25">
      <c r="A21" s="36"/>
      <c r="B21" s="52" t="s">
        <v>295</v>
      </c>
      <c r="C21" s="38" t="s">
        <v>296</v>
      </c>
      <c r="D21" s="32" t="s">
        <v>25</v>
      </c>
      <c r="E21" s="31" t="e">
        <f>MC!#REF!</f>
        <v>#REF!</v>
      </c>
      <c r="F21" s="31">
        <f t="shared" si="0"/>
        <v>3.77</v>
      </c>
      <c r="G21" s="13" t="e">
        <f t="shared" si="1"/>
        <v>#REF!</v>
      </c>
      <c r="M21" s="16">
        <v>3.04</v>
      </c>
      <c r="N21" s="5"/>
    </row>
    <row r="22" spans="1:15" ht="40" x14ac:dyDescent="0.25">
      <c r="A22" s="36"/>
      <c r="B22" s="52" t="s">
        <v>297</v>
      </c>
      <c r="C22" s="38" t="s">
        <v>298</v>
      </c>
      <c r="D22" s="32" t="s">
        <v>25</v>
      </c>
      <c r="E22" s="31" t="e">
        <f>MC!#REF!</f>
        <v>#REF!</v>
      </c>
      <c r="F22" s="31">
        <f t="shared" si="0"/>
        <v>9.44</v>
      </c>
      <c r="G22" s="13" t="e">
        <f t="shared" si="1"/>
        <v>#REF!</v>
      </c>
      <c r="M22" s="16">
        <v>7.61</v>
      </c>
      <c r="N22" s="5"/>
    </row>
    <row r="23" spans="1:15" ht="40" x14ac:dyDescent="0.25">
      <c r="A23" s="36"/>
      <c r="B23" s="52" t="s">
        <v>299</v>
      </c>
      <c r="C23" s="38" t="s">
        <v>300</v>
      </c>
      <c r="D23" s="32" t="s">
        <v>25</v>
      </c>
      <c r="E23" s="31" t="e">
        <f>MC!#REF!</f>
        <v>#REF!</v>
      </c>
      <c r="F23" s="31">
        <f t="shared" si="0"/>
        <v>7.55</v>
      </c>
      <c r="G23" s="13" t="e">
        <f t="shared" si="1"/>
        <v>#REF!</v>
      </c>
      <c r="M23" s="16">
        <v>6.09</v>
      </c>
      <c r="N23" s="5"/>
    </row>
    <row r="24" spans="1:15" ht="40" x14ac:dyDescent="0.25">
      <c r="A24" s="36"/>
      <c r="B24" s="52" t="s">
        <v>301</v>
      </c>
      <c r="C24" s="38" t="s">
        <v>302</v>
      </c>
      <c r="D24" s="32" t="s">
        <v>203</v>
      </c>
      <c r="E24" s="31" t="e">
        <f>MC!#REF!</f>
        <v>#REF!</v>
      </c>
      <c r="F24" s="31">
        <f t="shared" si="0"/>
        <v>5.38</v>
      </c>
      <c r="G24" s="13" t="e">
        <f t="shared" si="1"/>
        <v>#REF!</v>
      </c>
      <c r="M24" s="16">
        <v>4.34</v>
      </c>
      <c r="N24" s="5"/>
      <c r="O24" s="33"/>
    </row>
    <row r="25" spans="1:15" ht="40" x14ac:dyDescent="0.25">
      <c r="A25" s="36"/>
      <c r="B25" s="52" t="s">
        <v>303</v>
      </c>
      <c r="C25" s="38" t="s">
        <v>304</v>
      </c>
      <c r="D25" s="32" t="s">
        <v>203</v>
      </c>
      <c r="E25" s="31" t="e">
        <f>MC!#REF!</f>
        <v>#REF!</v>
      </c>
      <c r="F25" s="31">
        <f t="shared" si="0"/>
        <v>25.87</v>
      </c>
      <c r="G25" s="13" t="e">
        <f t="shared" si="1"/>
        <v>#REF!</v>
      </c>
      <c r="M25" s="16">
        <v>20.86</v>
      </c>
      <c r="N25" s="5"/>
    </row>
    <row r="26" spans="1:15" ht="40" x14ac:dyDescent="0.25">
      <c r="A26" s="36"/>
      <c r="B26" s="53" t="s">
        <v>305</v>
      </c>
      <c r="C26" s="39" t="s">
        <v>306</v>
      </c>
      <c r="D26" s="40" t="s">
        <v>25</v>
      </c>
      <c r="E26" s="31" t="e">
        <f>MC!#REF!</f>
        <v>#REF!</v>
      </c>
      <c r="F26" s="31">
        <f t="shared" si="0"/>
        <v>12.14</v>
      </c>
      <c r="G26" s="13" t="e">
        <f t="shared" si="1"/>
        <v>#REF!</v>
      </c>
      <c r="M26" s="16">
        <v>9.7899999999999991</v>
      </c>
      <c r="N26" s="5"/>
    </row>
    <row r="27" spans="1:15" ht="40" x14ac:dyDescent="0.25">
      <c r="A27" s="36"/>
      <c r="B27" s="52" t="s">
        <v>307</v>
      </c>
      <c r="C27" s="38" t="s">
        <v>308</v>
      </c>
      <c r="D27" s="32" t="s">
        <v>25</v>
      </c>
      <c r="E27" s="31" t="e">
        <f>MC!#REF!</f>
        <v>#REF!</v>
      </c>
      <c r="F27" s="31">
        <f t="shared" si="0"/>
        <v>4.04</v>
      </c>
      <c r="G27" s="13" t="e">
        <f t="shared" si="1"/>
        <v>#REF!</v>
      </c>
      <c r="M27" s="16">
        <v>3.26</v>
      </c>
      <c r="N27" s="5"/>
    </row>
    <row r="28" spans="1:15" ht="40" x14ac:dyDescent="0.25">
      <c r="A28" s="36"/>
      <c r="B28" s="52" t="s">
        <v>309</v>
      </c>
      <c r="C28" s="38" t="s">
        <v>310</v>
      </c>
      <c r="D28" s="32" t="s">
        <v>39</v>
      </c>
      <c r="E28" s="31" t="e">
        <f>MC!#REF!</f>
        <v>#REF!</v>
      </c>
      <c r="F28" s="31">
        <f t="shared" si="0"/>
        <v>45.89</v>
      </c>
      <c r="G28" s="13" t="e">
        <f t="shared" si="1"/>
        <v>#REF!</v>
      </c>
      <c r="M28" s="16">
        <v>37.01</v>
      </c>
      <c r="N28" s="5"/>
    </row>
    <row r="29" spans="1:15" ht="40" x14ac:dyDescent="0.25">
      <c r="A29" s="36"/>
      <c r="B29" s="52" t="s">
        <v>311</v>
      </c>
      <c r="C29" s="38" t="s">
        <v>312</v>
      </c>
      <c r="D29" s="32" t="s">
        <v>39</v>
      </c>
      <c r="E29" s="31" t="e">
        <f>MC!#REF!</f>
        <v>#REF!</v>
      </c>
      <c r="F29" s="31">
        <f t="shared" si="0"/>
        <v>105.31</v>
      </c>
      <c r="G29" s="13" t="e">
        <f t="shared" si="1"/>
        <v>#REF!</v>
      </c>
      <c r="M29" s="16">
        <v>84.93</v>
      </c>
      <c r="N29" s="5"/>
    </row>
    <row r="30" spans="1:15" ht="40" x14ac:dyDescent="0.25">
      <c r="A30" s="36"/>
      <c r="B30" s="52" t="s">
        <v>313</v>
      </c>
      <c r="C30" s="38" t="s">
        <v>314</v>
      </c>
      <c r="D30" s="32" t="s">
        <v>25</v>
      </c>
      <c r="E30" s="31" t="e">
        <f>MC!#REF!</f>
        <v>#REF!</v>
      </c>
      <c r="F30" s="31">
        <f t="shared" si="0"/>
        <v>6.84</v>
      </c>
      <c r="G30" s="13" t="e">
        <f t="shared" si="1"/>
        <v>#REF!</v>
      </c>
      <c r="M30" s="50">
        <v>5.52</v>
      </c>
      <c r="N30" s="5"/>
    </row>
    <row r="31" spans="1:15" ht="13" x14ac:dyDescent="0.3">
      <c r="A31" s="10" t="s">
        <v>40</v>
      </c>
      <c r="B31" s="54"/>
      <c r="C31" s="11" t="s">
        <v>315</v>
      </c>
      <c r="D31" s="12"/>
      <c r="E31" s="13"/>
      <c r="F31" s="31">
        <f t="shared" si="0"/>
        <v>0</v>
      </c>
      <c r="G31" s="27" t="e">
        <f>SUM(G32:G37)</f>
        <v>#REF!</v>
      </c>
      <c r="M31" s="14"/>
    </row>
    <row r="32" spans="1:15" ht="50" x14ac:dyDescent="0.25">
      <c r="A32" s="36"/>
      <c r="B32" s="52" t="s">
        <v>316</v>
      </c>
      <c r="C32" s="38" t="s">
        <v>317</v>
      </c>
      <c r="D32" s="32" t="s">
        <v>39</v>
      </c>
      <c r="E32" s="31" t="e">
        <f>MC!#REF!</f>
        <v>#REF!</v>
      </c>
      <c r="F32" s="31">
        <f t="shared" si="0"/>
        <v>28.35</v>
      </c>
      <c r="G32" s="13" t="e">
        <f t="shared" si="1"/>
        <v>#REF!</v>
      </c>
      <c r="M32" s="14">
        <v>22.86</v>
      </c>
      <c r="N32" s="5"/>
    </row>
    <row r="33" spans="1:15" ht="40" x14ac:dyDescent="0.25">
      <c r="A33" s="17"/>
      <c r="B33" s="52" t="s">
        <v>318</v>
      </c>
      <c r="C33" s="38" t="s">
        <v>319</v>
      </c>
      <c r="D33" s="32" t="s">
        <v>39</v>
      </c>
      <c r="E33" s="31" t="e">
        <f>MC!#REF!</f>
        <v>#REF!</v>
      </c>
      <c r="F33" s="31">
        <f t="shared" si="0"/>
        <v>494.44</v>
      </c>
      <c r="G33" s="13" t="e">
        <f t="shared" si="1"/>
        <v>#REF!</v>
      </c>
      <c r="M33" s="14">
        <v>398.74</v>
      </c>
      <c r="N33" s="5"/>
      <c r="O33" s="33"/>
    </row>
    <row r="34" spans="1:15" ht="50" x14ac:dyDescent="0.25">
      <c r="A34" s="17"/>
      <c r="B34" s="52" t="s">
        <v>320</v>
      </c>
      <c r="C34" s="38" t="s">
        <v>321</v>
      </c>
      <c r="D34" s="32" t="s">
        <v>39</v>
      </c>
      <c r="E34" s="31" t="e">
        <f>MC!#REF!</f>
        <v>#REF!</v>
      </c>
      <c r="F34" s="31">
        <f t="shared" si="0"/>
        <v>1545.96</v>
      </c>
      <c r="G34" s="13" t="e">
        <f t="shared" si="1"/>
        <v>#REF!</v>
      </c>
      <c r="M34" s="43">
        <v>1246.74</v>
      </c>
      <c r="N34" s="5"/>
    </row>
    <row r="35" spans="1:15" ht="50" x14ac:dyDescent="0.25">
      <c r="A35" s="17"/>
      <c r="B35" s="52" t="s">
        <v>322</v>
      </c>
      <c r="C35" s="38" t="s">
        <v>323</v>
      </c>
      <c r="D35" s="32" t="s">
        <v>25</v>
      </c>
      <c r="E35" s="31" t="e">
        <f>MC!#REF!</f>
        <v>#REF!</v>
      </c>
      <c r="F35" s="31">
        <f t="shared" si="0"/>
        <v>54.71</v>
      </c>
      <c r="G35" s="13" t="e">
        <f t="shared" si="1"/>
        <v>#REF!</v>
      </c>
      <c r="M35" s="14">
        <v>44.12</v>
      </c>
      <c r="N35" s="5"/>
    </row>
    <row r="36" spans="1:15" ht="40" x14ac:dyDescent="0.25">
      <c r="A36" s="17"/>
      <c r="B36" s="52" t="s">
        <v>324</v>
      </c>
      <c r="C36" s="38" t="s">
        <v>325</v>
      </c>
      <c r="D36" s="32" t="s">
        <v>39</v>
      </c>
      <c r="E36" s="31" t="e">
        <f>MC!#REF!</f>
        <v>#REF!</v>
      </c>
      <c r="F36" s="31">
        <f t="shared" si="0"/>
        <v>112.95</v>
      </c>
      <c r="G36" s="13" t="e">
        <f t="shared" si="1"/>
        <v>#REF!</v>
      </c>
      <c r="M36" s="14">
        <v>91.09</v>
      </c>
      <c r="N36" s="5"/>
    </row>
    <row r="37" spans="1:15" ht="40" x14ac:dyDescent="0.25">
      <c r="A37" s="36"/>
      <c r="B37" s="52" t="s">
        <v>326</v>
      </c>
      <c r="C37" s="38" t="s">
        <v>327</v>
      </c>
      <c r="D37" s="32" t="s">
        <v>39</v>
      </c>
      <c r="E37" s="31" t="e">
        <f>MC!#REF!</f>
        <v>#REF!</v>
      </c>
      <c r="F37" s="31">
        <f t="shared" si="0"/>
        <v>17</v>
      </c>
      <c r="G37" s="13" t="e">
        <f t="shared" si="1"/>
        <v>#REF!</v>
      </c>
      <c r="M37" s="14">
        <v>13.71</v>
      </c>
      <c r="N37" s="5"/>
    </row>
    <row r="38" spans="1:15" ht="13" x14ac:dyDescent="0.3">
      <c r="A38" s="10" t="s">
        <v>72</v>
      </c>
      <c r="B38" s="54"/>
      <c r="C38" s="11" t="s">
        <v>328</v>
      </c>
      <c r="D38" s="12"/>
      <c r="E38" s="13"/>
      <c r="F38" s="31">
        <f t="shared" si="0"/>
        <v>0</v>
      </c>
      <c r="G38" s="27" t="e">
        <f>SUM(G39:G44)</f>
        <v>#REF!</v>
      </c>
      <c r="M38" s="14"/>
      <c r="N38" s="41"/>
    </row>
    <row r="39" spans="1:15" ht="62.5" x14ac:dyDescent="0.25">
      <c r="A39" s="17"/>
      <c r="B39" s="52" t="s">
        <v>329</v>
      </c>
      <c r="C39" s="38" t="s">
        <v>330</v>
      </c>
      <c r="D39" s="32" t="s">
        <v>39</v>
      </c>
      <c r="E39" s="31" t="e">
        <f>MC!#REF!</f>
        <v>#REF!</v>
      </c>
      <c r="F39" s="31">
        <f t="shared" si="0"/>
        <v>2218.5700000000002</v>
      </c>
      <c r="G39" s="13" t="e">
        <f t="shared" si="1"/>
        <v>#REF!</v>
      </c>
      <c r="M39" s="43">
        <v>1789.17</v>
      </c>
      <c r="N39" s="5"/>
    </row>
    <row r="40" spans="1:15" ht="50" x14ac:dyDescent="0.25">
      <c r="A40" s="17"/>
      <c r="B40" s="52" t="s">
        <v>331</v>
      </c>
      <c r="C40" s="38" t="s">
        <v>332</v>
      </c>
      <c r="D40" s="32" t="s">
        <v>25</v>
      </c>
      <c r="E40" s="31" t="e">
        <f>MC!#REF!</f>
        <v>#REF!</v>
      </c>
      <c r="F40" s="31">
        <f t="shared" si="0"/>
        <v>36.200000000000003</v>
      </c>
      <c r="G40" s="13" t="e">
        <f t="shared" si="1"/>
        <v>#REF!</v>
      </c>
      <c r="M40" s="14">
        <v>29.19</v>
      </c>
      <c r="N40" s="5"/>
    </row>
    <row r="41" spans="1:15" ht="62.5" x14ac:dyDescent="0.25">
      <c r="A41" s="17"/>
      <c r="B41" s="52" t="s">
        <v>333</v>
      </c>
      <c r="C41" s="38" t="s">
        <v>334</v>
      </c>
      <c r="D41" s="32" t="s">
        <v>25</v>
      </c>
      <c r="E41" s="31" t="e">
        <f>MC!#REF!</f>
        <v>#REF!</v>
      </c>
      <c r="F41" s="31">
        <f t="shared" si="0"/>
        <v>73.06</v>
      </c>
      <c r="G41" s="13" t="e">
        <f t="shared" si="1"/>
        <v>#REF!</v>
      </c>
      <c r="M41" s="14">
        <v>58.92</v>
      </c>
      <c r="N41" s="5"/>
    </row>
    <row r="42" spans="1:15" ht="75" x14ac:dyDescent="0.25">
      <c r="A42" s="17"/>
      <c r="B42" s="52" t="s">
        <v>335</v>
      </c>
      <c r="C42" s="38" t="s">
        <v>336</v>
      </c>
      <c r="D42" s="32" t="s">
        <v>25</v>
      </c>
      <c r="E42" s="31" t="e">
        <f>MC!#REF!</f>
        <v>#REF!</v>
      </c>
      <c r="F42" s="31">
        <f t="shared" si="0"/>
        <v>62.3</v>
      </c>
      <c r="G42" s="13" t="e">
        <f t="shared" si="1"/>
        <v>#REF!</v>
      </c>
      <c r="M42" s="14">
        <v>50.24</v>
      </c>
      <c r="N42" s="5"/>
    </row>
    <row r="43" spans="1:15" ht="75" x14ac:dyDescent="0.25">
      <c r="A43" s="17"/>
      <c r="B43" s="52" t="s">
        <v>337</v>
      </c>
      <c r="C43" s="38" t="s">
        <v>338</v>
      </c>
      <c r="D43" s="32"/>
      <c r="E43" s="31" t="e">
        <f>MC!#REF!</f>
        <v>#REF!</v>
      </c>
      <c r="F43" s="31">
        <f t="shared" si="0"/>
        <v>70.22</v>
      </c>
      <c r="G43" s="13" t="e">
        <f t="shared" si="1"/>
        <v>#REF!</v>
      </c>
      <c r="M43" s="14">
        <v>56.63</v>
      </c>
      <c r="N43" s="5"/>
    </row>
    <row r="44" spans="1:15" ht="40" x14ac:dyDescent="0.25">
      <c r="A44" s="17"/>
      <c r="B44" s="52" t="s">
        <v>339</v>
      </c>
      <c r="C44" s="38" t="s">
        <v>340</v>
      </c>
      <c r="D44" s="32" t="s">
        <v>25</v>
      </c>
      <c r="E44" s="31" t="e">
        <f>MC!#REF!</f>
        <v>#REF!</v>
      </c>
      <c r="F44" s="31">
        <f t="shared" si="0"/>
        <v>101.28</v>
      </c>
      <c r="G44" s="13" t="e">
        <f t="shared" si="1"/>
        <v>#REF!</v>
      </c>
      <c r="M44" s="14">
        <v>81.680000000000007</v>
      </c>
      <c r="N44" s="5"/>
    </row>
    <row r="45" spans="1:15" ht="13" x14ac:dyDescent="0.3">
      <c r="A45" s="10" t="s">
        <v>105</v>
      </c>
      <c r="B45" s="54"/>
      <c r="C45" s="11" t="s">
        <v>341</v>
      </c>
      <c r="D45" s="12"/>
      <c r="E45" s="13"/>
      <c r="F45" s="31">
        <f t="shared" si="0"/>
        <v>0</v>
      </c>
      <c r="G45" s="27" t="e">
        <f>SUM(G46:G60)</f>
        <v>#REF!</v>
      </c>
      <c r="M45" s="14"/>
      <c r="N45" s="5"/>
    </row>
    <row r="46" spans="1:15" ht="40" x14ac:dyDescent="0.25">
      <c r="A46" s="36"/>
      <c r="B46" s="52" t="s">
        <v>342</v>
      </c>
      <c r="C46" s="38" t="s">
        <v>343</v>
      </c>
      <c r="D46" s="32" t="s">
        <v>25</v>
      </c>
      <c r="E46" s="31" t="e">
        <f>MC!#REF!</f>
        <v>#REF!</v>
      </c>
      <c r="F46" s="31">
        <f t="shared" si="0"/>
        <v>113.62</v>
      </c>
      <c r="G46" s="13" t="e">
        <f t="shared" si="1"/>
        <v>#REF!</v>
      </c>
      <c r="M46" s="14">
        <v>91.63</v>
      </c>
      <c r="N46" s="5"/>
    </row>
    <row r="47" spans="1:15" ht="40" x14ac:dyDescent="0.25">
      <c r="A47" s="36"/>
      <c r="B47" s="52" t="s">
        <v>344</v>
      </c>
      <c r="C47" s="38" t="s">
        <v>345</v>
      </c>
      <c r="D47" s="32" t="s">
        <v>25</v>
      </c>
      <c r="E47" s="31" t="e">
        <f>MC!#REF!</f>
        <v>#REF!</v>
      </c>
      <c r="F47" s="31">
        <f t="shared" si="0"/>
        <v>73.97</v>
      </c>
      <c r="G47" s="13" t="e">
        <f t="shared" si="1"/>
        <v>#REF!</v>
      </c>
      <c r="M47" s="14">
        <v>59.65</v>
      </c>
      <c r="N47" s="5"/>
    </row>
    <row r="48" spans="1:15" ht="102.75" customHeight="1" x14ac:dyDescent="0.25">
      <c r="A48" s="36"/>
      <c r="B48" s="52" t="s">
        <v>346</v>
      </c>
      <c r="C48" s="38" t="s">
        <v>347</v>
      </c>
      <c r="D48" s="32" t="s">
        <v>25</v>
      </c>
      <c r="E48" s="45" t="e">
        <f>MC!#REF!</f>
        <v>#REF!</v>
      </c>
      <c r="F48" s="31">
        <f t="shared" si="0"/>
        <v>68.31</v>
      </c>
      <c r="G48" s="45" t="e">
        <f t="shared" si="1"/>
        <v>#REF!</v>
      </c>
      <c r="H48" s="33"/>
      <c r="I48" s="33"/>
      <c r="J48" s="33"/>
      <c r="K48" s="33"/>
      <c r="L48" s="33"/>
      <c r="M48" s="43">
        <v>55.09</v>
      </c>
      <c r="N48" s="5"/>
    </row>
    <row r="49" spans="1:16" ht="40" x14ac:dyDescent="0.25">
      <c r="A49" s="36"/>
      <c r="B49" s="52" t="s">
        <v>348</v>
      </c>
      <c r="C49" s="38" t="s">
        <v>349</v>
      </c>
      <c r="D49" s="32" t="s">
        <v>25</v>
      </c>
      <c r="E49" s="31" t="e">
        <f>MC!#REF!</f>
        <v>#REF!</v>
      </c>
      <c r="F49" s="31">
        <f t="shared" si="0"/>
        <v>37.6</v>
      </c>
      <c r="G49" s="13" t="e">
        <f t="shared" si="1"/>
        <v>#REF!</v>
      </c>
      <c r="M49" s="14">
        <v>30.32</v>
      </c>
      <c r="N49" s="5"/>
    </row>
    <row r="50" spans="1:16" ht="40" x14ac:dyDescent="0.25">
      <c r="A50" s="36"/>
      <c r="B50" s="52" t="s">
        <v>350</v>
      </c>
      <c r="C50" s="38" t="s">
        <v>351</v>
      </c>
      <c r="D50" s="32" t="s">
        <v>25</v>
      </c>
      <c r="E50" s="31" t="e">
        <f>MC!#REF!</f>
        <v>#REF!</v>
      </c>
      <c r="F50" s="31">
        <f t="shared" si="0"/>
        <v>5.31</v>
      </c>
      <c r="G50" s="13" t="e">
        <f t="shared" si="1"/>
        <v>#REF!</v>
      </c>
      <c r="M50" s="14">
        <f>ROUND((N50)-(O50*P50),2)</f>
        <v>4.28</v>
      </c>
      <c r="N50" s="5">
        <v>30.32</v>
      </c>
      <c r="O50">
        <v>0.93</v>
      </c>
      <c r="P50" s="33">
        <v>28</v>
      </c>
    </row>
    <row r="51" spans="1:16" ht="40" x14ac:dyDescent="0.25">
      <c r="A51" s="36"/>
      <c r="B51" s="52" t="s">
        <v>352</v>
      </c>
      <c r="C51" s="38" t="s">
        <v>353</v>
      </c>
      <c r="D51" s="32" t="s">
        <v>25</v>
      </c>
      <c r="E51" s="45" t="e">
        <f>MC!#REF!</f>
        <v>#REF!</v>
      </c>
      <c r="F51" s="45">
        <f t="shared" si="0"/>
        <v>53.74</v>
      </c>
      <c r="G51" s="45" t="e">
        <f t="shared" si="1"/>
        <v>#REF!</v>
      </c>
      <c r="H51" s="33"/>
      <c r="I51" s="33"/>
      <c r="J51" s="33"/>
      <c r="K51" s="33"/>
      <c r="L51" s="33"/>
      <c r="M51" s="43">
        <v>43.34</v>
      </c>
      <c r="N51" s="5"/>
    </row>
    <row r="52" spans="1:16" ht="40" x14ac:dyDescent="0.25">
      <c r="A52" s="36"/>
      <c r="B52" s="52" t="s">
        <v>354</v>
      </c>
      <c r="C52" s="38" t="s">
        <v>355</v>
      </c>
      <c r="D52" s="32" t="s">
        <v>50</v>
      </c>
      <c r="E52" s="31" t="e">
        <f>MC!#REF!</f>
        <v>#REF!</v>
      </c>
      <c r="F52" s="31">
        <f t="shared" si="0"/>
        <v>49.03</v>
      </c>
      <c r="G52" s="13" t="e">
        <f t="shared" si="1"/>
        <v>#REF!</v>
      </c>
      <c r="M52" s="14">
        <v>39.54</v>
      </c>
      <c r="N52" s="5"/>
    </row>
    <row r="53" spans="1:16" ht="50" x14ac:dyDescent="0.25">
      <c r="A53" s="36"/>
      <c r="B53" s="52" t="s">
        <v>356</v>
      </c>
      <c r="C53" s="38" t="s">
        <v>357</v>
      </c>
      <c r="D53" s="32" t="s">
        <v>50</v>
      </c>
      <c r="E53" s="31" t="e">
        <f>MC!#REF!</f>
        <v>#REF!</v>
      </c>
      <c r="F53" s="31">
        <f t="shared" si="0"/>
        <v>121.48</v>
      </c>
      <c r="G53" s="13" t="e">
        <f t="shared" si="1"/>
        <v>#REF!</v>
      </c>
      <c r="M53" s="14">
        <v>97.97</v>
      </c>
      <c r="N53" s="5"/>
    </row>
    <row r="54" spans="1:16" ht="37.5" x14ac:dyDescent="0.25">
      <c r="A54" s="36"/>
      <c r="B54" s="52" t="s">
        <v>358</v>
      </c>
      <c r="C54" s="38" t="s">
        <v>359</v>
      </c>
      <c r="D54" s="32" t="s">
        <v>50</v>
      </c>
      <c r="E54" s="31" t="e">
        <f>MC!#REF!</f>
        <v>#REF!</v>
      </c>
      <c r="F54" s="31">
        <f t="shared" si="0"/>
        <v>16.28</v>
      </c>
      <c r="G54" s="13" t="e">
        <f t="shared" si="1"/>
        <v>#REF!</v>
      </c>
      <c r="M54" s="14">
        <v>13.13</v>
      </c>
      <c r="N54" s="5"/>
    </row>
    <row r="55" spans="1:16" ht="50" x14ac:dyDescent="0.25">
      <c r="A55" s="36"/>
      <c r="B55" s="52" t="s">
        <v>360</v>
      </c>
      <c r="C55" s="38" t="s">
        <v>361</v>
      </c>
      <c r="D55" s="32" t="s">
        <v>50</v>
      </c>
      <c r="E55" s="31" t="e">
        <f>MC!#REF!</f>
        <v>#REF!</v>
      </c>
      <c r="F55" s="31">
        <f t="shared" si="0"/>
        <v>6.55</v>
      </c>
      <c r="G55" s="13" t="e">
        <f t="shared" si="1"/>
        <v>#REF!</v>
      </c>
      <c r="M55" s="14">
        <v>5.28</v>
      </c>
      <c r="N55" s="5"/>
    </row>
    <row r="56" spans="1:16" ht="40" x14ac:dyDescent="0.25">
      <c r="A56" s="36"/>
      <c r="B56" s="52" t="s">
        <v>362</v>
      </c>
      <c r="C56" s="38" t="s">
        <v>363</v>
      </c>
      <c r="D56" s="32" t="s">
        <v>50</v>
      </c>
      <c r="E56" s="31" t="e">
        <f>MC!#REF!</f>
        <v>#REF!</v>
      </c>
      <c r="F56" s="31">
        <f t="shared" si="0"/>
        <v>43.44</v>
      </c>
      <c r="G56" s="13" t="e">
        <f t="shared" si="1"/>
        <v>#REF!</v>
      </c>
      <c r="M56" s="14">
        <v>35.03</v>
      </c>
      <c r="N56" s="5"/>
    </row>
    <row r="57" spans="1:16" ht="75" x14ac:dyDescent="0.25">
      <c r="A57" s="36"/>
      <c r="B57" s="52" t="s">
        <v>364</v>
      </c>
      <c r="C57" s="38" t="s">
        <v>365</v>
      </c>
      <c r="D57" s="32" t="s">
        <v>50</v>
      </c>
      <c r="E57" s="31" t="e">
        <f>MC!#REF!</f>
        <v>#REF!</v>
      </c>
      <c r="F57" s="31">
        <f t="shared" si="0"/>
        <v>89.03</v>
      </c>
      <c r="G57" s="13" t="e">
        <f t="shared" si="1"/>
        <v>#REF!</v>
      </c>
      <c r="M57" s="14">
        <v>71.8</v>
      </c>
      <c r="N57" s="5"/>
    </row>
    <row r="58" spans="1:16" ht="40" x14ac:dyDescent="0.25">
      <c r="A58" s="36"/>
      <c r="B58" s="52" t="s">
        <v>366</v>
      </c>
      <c r="C58" s="38" t="s">
        <v>367</v>
      </c>
      <c r="D58" s="32" t="s">
        <v>50</v>
      </c>
      <c r="E58" s="31" t="e">
        <f>MC!#REF!</f>
        <v>#REF!</v>
      </c>
      <c r="F58" s="31">
        <f t="shared" si="0"/>
        <v>18.149999999999999</v>
      </c>
      <c r="G58" s="13" t="e">
        <f t="shared" si="1"/>
        <v>#REF!</v>
      </c>
      <c r="M58" s="14">
        <v>14.64</v>
      </c>
      <c r="N58" s="5"/>
    </row>
    <row r="59" spans="1:16" ht="62.5" x14ac:dyDescent="0.25">
      <c r="A59" s="36"/>
      <c r="B59" s="52" t="s">
        <v>368</v>
      </c>
      <c r="C59" s="38" t="s">
        <v>369</v>
      </c>
      <c r="D59" s="32" t="s">
        <v>25</v>
      </c>
      <c r="E59" s="31" t="e">
        <f>MC!#REF!</f>
        <v>#REF!</v>
      </c>
      <c r="F59" s="31">
        <f t="shared" si="0"/>
        <v>58.59</v>
      </c>
      <c r="G59" s="13" t="e">
        <f t="shared" si="1"/>
        <v>#REF!</v>
      </c>
      <c r="M59" s="14">
        <v>47.25</v>
      </c>
      <c r="N59" s="5"/>
    </row>
    <row r="60" spans="1:16" x14ac:dyDescent="0.25">
      <c r="A60" s="36"/>
      <c r="B60" s="52"/>
      <c r="C60" s="38"/>
      <c r="D60" s="32"/>
      <c r="E60" s="31" t="e">
        <f>MC!#REF!</f>
        <v>#REF!</v>
      </c>
      <c r="F60" s="31">
        <f t="shared" si="0"/>
        <v>0</v>
      </c>
      <c r="G60" s="13" t="e">
        <f t="shared" si="1"/>
        <v>#REF!</v>
      </c>
      <c r="M60" s="14"/>
      <c r="N60" s="5"/>
    </row>
    <row r="61" spans="1:16" ht="13" x14ac:dyDescent="0.3">
      <c r="A61" s="10" t="s">
        <v>123</v>
      </c>
      <c r="B61" s="54"/>
      <c r="C61" s="11" t="s">
        <v>370</v>
      </c>
      <c r="D61" s="12"/>
      <c r="E61" s="13"/>
      <c r="F61" s="31">
        <f t="shared" si="0"/>
        <v>0</v>
      </c>
      <c r="G61" s="27" t="e">
        <f>SUM(G62:G76)</f>
        <v>#REF!</v>
      </c>
      <c r="M61" s="14"/>
      <c r="N61" s="5"/>
    </row>
    <row r="62" spans="1:16" ht="50" x14ac:dyDescent="0.25">
      <c r="A62" s="36"/>
      <c r="B62" s="52" t="s">
        <v>371</v>
      </c>
      <c r="C62" s="35" t="s">
        <v>372</v>
      </c>
      <c r="D62" s="32" t="s">
        <v>25</v>
      </c>
      <c r="E62" s="31" t="e">
        <f>MC!#REF!</f>
        <v>#REF!</v>
      </c>
      <c r="F62" s="31">
        <f t="shared" si="0"/>
        <v>170.95</v>
      </c>
      <c r="G62" s="13" t="e">
        <f t="shared" si="1"/>
        <v>#REF!</v>
      </c>
      <c r="M62" s="14">
        <f>ROUND(N62/1.68,2)</f>
        <v>137.86000000000001</v>
      </c>
      <c r="N62" s="5">
        <v>231.6</v>
      </c>
      <c r="O62" s="33" t="s">
        <v>373</v>
      </c>
    </row>
    <row r="63" spans="1:16" ht="50" x14ac:dyDescent="0.25">
      <c r="A63" s="17"/>
      <c r="B63" s="52" t="s">
        <v>374</v>
      </c>
      <c r="C63" s="35" t="s">
        <v>375</v>
      </c>
      <c r="D63" s="32" t="s">
        <v>25</v>
      </c>
      <c r="E63" s="31" t="e">
        <f>MC!#REF!</f>
        <v>#REF!</v>
      </c>
      <c r="F63" s="31">
        <f t="shared" si="0"/>
        <v>324.35000000000002</v>
      </c>
      <c r="G63" s="13" t="e">
        <f t="shared" si="1"/>
        <v>#REF!</v>
      </c>
      <c r="M63" s="14">
        <f>ROUND(N63/1.68,2)</f>
        <v>261.57</v>
      </c>
      <c r="N63" s="5">
        <v>439.44</v>
      </c>
      <c r="O63" s="33" t="s">
        <v>373</v>
      </c>
    </row>
    <row r="64" spans="1:16" ht="40" x14ac:dyDescent="0.25">
      <c r="A64" s="36"/>
      <c r="B64" s="52" t="s">
        <v>376</v>
      </c>
      <c r="C64" s="35" t="s">
        <v>377</v>
      </c>
      <c r="D64" s="32" t="s">
        <v>25</v>
      </c>
      <c r="E64" s="31" t="e">
        <f>MC!#REF!</f>
        <v>#REF!</v>
      </c>
      <c r="F64" s="31">
        <f t="shared" si="0"/>
        <v>341.71</v>
      </c>
      <c r="G64" s="13" t="e">
        <f t="shared" si="1"/>
        <v>#REF!</v>
      </c>
      <c r="M64" s="14">
        <f>ROUND(N64/2.25,2)</f>
        <v>275.57</v>
      </c>
      <c r="N64" s="5">
        <v>620.03</v>
      </c>
      <c r="O64" s="33" t="s">
        <v>378</v>
      </c>
    </row>
    <row r="65" spans="1:15" ht="40" x14ac:dyDescent="0.25">
      <c r="A65" s="36"/>
      <c r="B65" s="52" t="s">
        <v>379</v>
      </c>
      <c r="C65" s="35" t="s">
        <v>380</v>
      </c>
      <c r="D65" s="32" t="s">
        <v>25</v>
      </c>
      <c r="E65" s="31" t="e">
        <f>MC!#REF!</f>
        <v>#REF!</v>
      </c>
      <c r="F65" s="31">
        <f t="shared" si="0"/>
        <v>448.61</v>
      </c>
      <c r="G65" s="13" t="e">
        <f t="shared" si="1"/>
        <v>#REF!</v>
      </c>
      <c r="M65" s="14">
        <v>361.78</v>
      </c>
      <c r="N65" s="5"/>
    </row>
    <row r="66" spans="1:15" ht="40" x14ac:dyDescent="0.25">
      <c r="A66" s="36"/>
      <c r="B66" s="52" t="s">
        <v>381</v>
      </c>
      <c r="C66" s="35" t="s">
        <v>382</v>
      </c>
      <c r="D66" s="32" t="s">
        <v>25</v>
      </c>
      <c r="E66" s="31" t="e">
        <f>MC!#REF!</f>
        <v>#REF!</v>
      </c>
      <c r="F66" s="31">
        <f t="shared" si="0"/>
        <v>678.08</v>
      </c>
      <c r="G66" s="13" t="e">
        <f t="shared" si="1"/>
        <v>#REF!</v>
      </c>
      <c r="M66" s="14">
        <v>546.84</v>
      </c>
      <c r="N66" s="5"/>
    </row>
    <row r="67" spans="1:15" ht="40" x14ac:dyDescent="0.25">
      <c r="A67" s="36"/>
      <c r="B67" s="52" t="s">
        <v>383</v>
      </c>
      <c r="C67" s="35" t="s">
        <v>384</v>
      </c>
      <c r="D67" s="32" t="s">
        <v>203</v>
      </c>
      <c r="E67" s="31" t="e">
        <f>MC!#REF!</f>
        <v>#REF!</v>
      </c>
      <c r="F67" s="31">
        <f t="shared" si="0"/>
        <v>56.61</v>
      </c>
      <c r="G67" s="13" t="e">
        <f t="shared" si="1"/>
        <v>#REF!</v>
      </c>
      <c r="M67" s="14">
        <v>45.65</v>
      </c>
      <c r="N67" s="5"/>
    </row>
    <row r="68" spans="1:15" ht="40" x14ac:dyDescent="0.25">
      <c r="A68" s="36"/>
      <c r="B68" s="52" t="s">
        <v>385</v>
      </c>
      <c r="C68" s="35" t="s">
        <v>386</v>
      </c>
      <c r="D68" s="32" t="s">
        <v>203</v>
      </c>
      <c r="E68" s="31" t="e">
        <f>MC!#REF!</f>
        <v>#REF!</v>
      </c>
      <c r="F68" s="31">
        <f t="shared" si="0"/>
        <v>48.74</v>
      </c>
      <c r="G68" s="13" t="e">
        <f t="shared" si="1"/>
        <v>#REF!</v>
      </c>
      <c r="M68" s="14">
        <v>39.31</v>
      </c>
      <c r="N68" s="5"/>
    </row>
    <row r="69" spans="1:15" ht="30" x14ac:dyDescent="0.25">
      <c r="A69" s="17"/>
      <c r="B69" s="52" t="s">
        <v>387</v>
      </c>
      <c r="C69" s="35" t="s">
        <v>388</v>
      </c>
      <c r="D69" s="32" t="s">
        <v>25</v>
      </c>
      <c r="E69" s="31" t="e">
        <f>MC!#REF!</f>
        <v>#REF!</v>
      </c>
      <c r="F69" s="31">
        <f t="shared" si="0"/>
        <v>296.17</v>
      </c>
      <c r="G69" s="13" t="e">
        <f t="shared" si="1"/>
        <v>#REF!</v>
      </c>
      <c r="M69" s="14">
        <v>238.85</v>
      </c>
      <c r="N69" s="5"/>
    </row>
    <row r="70" spans="1:15" ht="24.75" customHeight="1" x14ac:dyDescent="0.25">
      <c r="A70" s="36"/>
      <c r="B70" s="52" t="s">
        <v>389</v>
      </c>
      <c r="C70" s="35" t="s">
        <v>390</v>
      </c>
      <c r="D70" s="32" t="s">
        <v>25</v>
      </c>
      <c r="E70" s="31" t="e">
        <f>MC!#REF!</f>
        <v>#REF!</v>
      </c>
      <c r="F70" s="31">
        <f t="shared" si="0"/>
        <v>263.81</v>
      </c>
      <c r="G70" s="13" t="e">
        <f t="shared" si="1"/>
        <v>#REF!</v>
      </c>
      <c r="M70" s="14">
        <v>212.75</v>
      </c>
      <c r="N70" s="5"/>
    </row>
    <row r="71" spans="1:15" ht="40" x14ac:dyDescent="0.25">
      <c r="A71" s="36"/>
      <c r="B71" s="52" t="s">
        <v>374</v>
      </c>
      <c r="C71" s="35" t="s">
        <v>391</v>
      </c>
      <c r="D71" s="32" t="s">
        <v>25</v>
      </c>
      <c r="E71" s="31" t="e">
        <f>MC!#REF!</f>
        <v>#REF!</v>
      </c>
      <c r="F71" s="31">
        <f t="shared" si="0"/>
        <v>97.3</v>
      </c>
      <c r="G71" s="13" t="e">
        <f t="shared" si="1"/>
        <v>#REF!</v>
      </c>
      <c r="M71" s="14">
        <f>ROUND(N71/1.68*0.3,2)</f>
        <v>78.47</v>
      </c>
      <c r="N71" s="5">
        <v>439.44</v>
      </c>
      <c r="O71" s="33" t="s">
        <v>373</v>
      </c>
    </row>
    <row r="72" spans="1:15" ht="40" x14ac:dyDescent="0.25">
      <c r="A72" s="36"/>
      <c r="B72" s="52" t="s">
        <v>392</v>
      </c>
      <c r="C72" s="35" t="s">
        <v>393</v>
      </c>
      <c r="D72" s="32" t="s">
        <v>25</v>
      </c>
      <c r="E72" s="31" t="e">
        <f>MC!#REF!</f>
        <v>#REF!</v>
      </c>
      <c r="F72" s="31">
        <f t="shared" si="0"/>
        <v>269.02</v>
      </c>
      <c r="G72" s="13" t="e">
        <f t="shared" si="1"/>
        <v>#REF!</v>
      </c>
      <c r="M72" s="14">
        <v>216.95</v>
      </c>
      <c r="N72" s="5"/>
    </row>
    <row r="73" spans="1:15" ht="40" x14ac:dyDescent="0.25">
      <c r="A73" s="36"/>
      <c r="B73" s="52" t="s">
        <v>394</v>
      </c>
      <c r="C73" s="35" t="s">
        <v>395</v>
      </c>
      <c r="D73" s="32" t="s">
        <v>25</v>
      </c>
      <c r="E73" s="31" t="e">
        <f>MC!#REF!</f>
        <v>#REF!</v>
      </c>
      <c r="F73" s="31">
        <f t="shared" si="0"/>
        <v>217.99</v>
      </c>
      <c r="G73" s="13" t="e">
        <f t="shared" si="1"/>
        <v>#REF!</v>
      </c>
      <c r="M73" s="14">
        <v>175.8</v>
      </c>
      <c r="N73" s="5"/>
    </row>
    <row r="74" spans="1:15" ht="40" x14ac:dyDescent="0.25">
      <c r="A74" s="36"/>
      <c r="B74" s="52" t="s">
        <v>396</v>
      </c>
      <c r="C74" s="35" t="s">
        <v>397</v>
      </c>
      <c r="D74" s="32" t="s">
        <v>25</v>
      </c>
      <c r="E74" s="31" t="e">
        <f>MC!#REF!</f>
        <v>#REF!</v>
      </c>
      <c r="F74" s="31">
        <f t="shared" ref="F74:F137" si="2">ROUND(M74*1.24,2)</f>
        <v>301.62</v>
      </c>
      <c r="G74" s="13" t="e">
        <f t="shared" si="1"/>
        <v>#REF!</v>
      </c>
      <c r="M74" s="14">
        <v>243.24</v>
      </c>
      <c r="N74" s="5"/>
    </row>
    <row r="75" spans="1:15" ht="40" x14ac:dyDescent="0.25">
      <c r="A75" s="17"/>
      <c r="B75" s="52" t="s">
        <v>398</v>
      </c>
      <c r="C75" s="35" t="s">
        <v>399</v>
      </c>
      <c r="D75" s="32" t="s">
        <v>25</v>
      </c>
      <c r="E75" s="31" t="e">
        <f>MC!#REF!</f>
        <v>#REF!</v>
      </c>
      <c r="F75" s="31">
        <f t="shared" si="2"/>
        <v>53.06</v>
      </c>
      <c r="G75" s="13" t="e">
        <f t="shared" si="1"/>
        <v>#REF!</v>
      </c>
      <c r="M75" s="14">
        <v>42.79</v>
      </c>
      <c r="N75" s="5"/>
    </row>
    <row r="76" spans="1:15" ht="40" x14ac:dyDescent="0.25">
      <c r="A76" s="17"/>
      <c r="B76" s="52" t="s">
        <v>400</v>
      </c>
      <c r="C76" s="35" t="s">
        <v>401</v>
      </c>
      <c r="D76" s="32" t="s">
        <v>25</v>
      </c>
      <c r="E76" s="31" t="e">
        <f>MC!#REF!</f>
        <v>#REF!</v>
      </c>
      <c r="F76" s="31">
        <f t="shared" si="2"/>
        <v>66.849999999999994</v>
      </c>
      <c r="G76" s="13" t="e">
        <f t="shared" si="1"/>
        <v>#REF!</v>
      </c>
      <c r="M76" s="14">
        <v>53.91</v>
      </c>
      <c r="N76" s="5"/>
    </row>
    <row r="77" spans="1:15" ht="13" x14ac:dyDescent="0.3">
      <c r="A77" s="10" t="s">
        <v>144</v>
      </c>
      <c r="B77" s="54"/>
      <c r="C77" s="11" t="s">
        <v>402</v>
      </c>
      <c r="D77" s="12"/>
      <c r="E77" s="13"/>
      <c r="F77" s="31">
        <f t="shared" si="2"/>
        <v>0</v>
      </c>
      <c r="G77" s="27" t="e">
        <f>SUM(G78:G83)</f>
        <v>#REF!</v>
      </c>
      <c r="M77" s="14"/>
      <c r="N77" s="5"/>
    </row>
    <row r="78" spans="1:15" ht="40" x14ac:dyDescent="0.25">
      <c r="A78" s="36"/>
      <c r="B78" s="52" t="s">
        <v>403</v>
      </c>
      <c r="C78" s="35" t="s">
        <v>404</v>
      </c>
      <c r="D78" s="32" t="s">
        <v>25</v>
      </c>
      <c r="E78" s="31" t="e">
        <f>MC!#REF!</f>
        <v>#REF!</v>
      </c>
      <c r="F78" s="31">
        <f t="shared" si="2"/>
        <v>4.32</v>
      </c>
      <c r="G78" s="13" t="e">
        <f t="shared" ref="G78:G143" si="3">ROUND(F78*E78,2)</f>
        <v>#REF!</v>
      </c>
      <c r="M78" s="14">
        <v>3.48</v>
      </c>
      <c r="N78" s="5"/>
    </row>
    <row r="79" spans="1:15" ht="50" x14ac:dyDescent="0.25">
      <c r="A79" s="36"/>
      <c r="B79" s="52" t="s">
        <v>405</v>
      </c>
      <c r="C79" s="35" t="s">
        <v>406</v>
      </c>
      <c r="D79" s="32" t="s">
        <v>25</v>
      </c>
      <c r="E79" s="31" t="e">
        <f>MC!#REF!</f>
        <v>#REF!</v>
      </c>
      <c r="F79" s="31">
        <f t="shared" si="2"/>
        <v>19.440000000000001</v>
      </c>
      <c r="G79" s="13" t="e">
        <f t="shared" si="3"/>
        <v>#REF!</v>
      </c>
      <c r="M79" s="14">
        <v>15.68</v>
      </c>
      <c r="N79" s="5"/>
    </row>
    <row r="80" spans="1:15" ht="37.5" x14ac:dyDescent="0.25">
      <c r="A80" s="36"/>
      <c r="B80" s="52" t="s">
        <v>407</v>
      </c>
      <c r="C80" s="35" t="s">
        <v>408</v>
      </c>
      <c r="D80" s="32" t="s">
        <v>25</v>
      </c>
      <c r="E80" s="31" t="e">
        <f>MC!#REF!</f>
        <v>#REF!</v>
      </c>
      <c r="F80" s="31">
        <f t="shared" si="2"/>
        <v>18.809999999999999</v>
      </c>
      <c r="G80" s="13" t="e">
        <f t="shared" si="3"/>
        <v>#REF!</v>
      </c>
      <c r="M80" s="14">
        <v>15.17</v>
      </c>
      <c r="N80" s="5"/>
    </row>
    <row r="81" spans="1:14" ht="40" x14ac:dyDescent="0.25">
      <c r="A81" s="36"/>
      <c r="B81" s="52" t="s">
        <v>409</v>
      </c>
      <c r="C81" s="35" t="s">
        <v>410</v>
      </c>
      <c r="D81" s="32" t="s">
        <v>25</v>
      </c>
      <c r="E81" s="31" t="e">
        <f>MC!#REF!</f>
        <v>#REF!</v>
      </c>
      <c r="F81" s="31">
        <f t="shared" si="2"/>
        <v>24.53</v>
      </c>
      <c r="G81" s="13" t="e">
        <f t="shared" si="3"/>
        <v>#REF!</v>
      </c>
      <c r="M81" s="14">
        <v>19.78</v>
      </c>
      <c r="N81" s="48" t="s">
        <v>411</v>
      </c>
    </row>
    <row r="82" spans="1:14" ht="40" x14ac:dyDescent="0.25">
      <c r="A82" s="36"/>
      <c r="B82" s="52" t="s">
        <v>412</v>
      </c>
      <c r="C82" s="35" t="s">
        <v>413</v>
      </c>
      <c r="D82" s="32" t="s">
        <v>25</v>
      </c>
      <c r="E82" s="31" t="e">
        <f>MC!#REF!</f>
        <v>#REF!</v>
      </c>
      <c r="F82" s="31">
        <f t="shared" si="2"/>
        <v>30.37</v>
      </c>
      <c r="G82" s="13" t="e">
        <f t="shared" si="3"/>
        <v>#REF!</v>
      </c>
      <c r="M82" s="14">
        <v>24.49</v>
      </c>
      <c r="N82" s="5"/>
    </row>
    <row r="83" spans="1:14" ht="89.25" customHeight="1" x14ac:dyDescent="0.25">
      <c r="A83" s="17"/>
      <c r="B83" s="52" t="s">
        <v>414</v>
      </c>
      <c r="C83" s="38" t="s">
        <v>415</v>
      </c>
      <c r="D83" s="32" t="s">
        <v>25</v>
      </c>
      <c r="E83" s="31" t="e">
        <f>MC!#REF!</f>
        <v>#REF!</v>
      </c>
      <c r="F83" s="31">
        <f t="shared" si="2"/>
        <v>47.84</v>
      </c>
      <c r="G83" s="13" t="e">
        <f t="shared" si="3"/>
        <v>#REF!</v>
      </c>
      <c r="M83" s="43">
        <v>38.58</v>
      </c>
      <c r="N83" s="5"/>
    </row>
    <row r="84" spans="1:14" ht="13" x14ac:dyDescent="0.3">
      <c r="A84" s="10" t="s">
        <v>156</v>
      </c>
      <c r="B84" s="54"/>
      <c r="C84" s="11" t="s">
        <v>416</v>
      </c>
      <c r="D84" s="12"/>
      <c r="E84" s="13"/>
      <c r="F84" s="31">
        <f t="shared" si="2"/>
        <v>0</v>
      </c>
      <c r="G84" s="27" t="e">
        <f>SUM(G85:G89)</f>
        <v>#REF!</v>
      </c>
      <c r="M84" s="14"/>
      <c r="N84" s="5"/>
    </row>
    <row r="85" spans="1:14" ht="40" x14ac:dyDescent="0.25">
      <c r="A85" s="36"/>
      <c r="B85" s="52" t="s">
        <v>318</v>
      </c>
      <c r="C85" s="35" t="s">
        <v>417</v>
      </c>
      <c r="D85" s="32" t="s">
        <v>25</v>
      </c>
      <c r="E85" s="31" t="e">
        <f>MC!#REF!</f>
        <v>#REF!</v>
      </c>
      <c r="F85" s="31">
        <f t="shared" si="2"/>
        <v>24.73</v>
      </c>
      <c r="G85" s="13" t="e">
        <f t="shared" si="3"/>
        <v>#REF!</v>
      </c>
      <c r="M85" s="14">
        <f>ROUND(N85*0.05,2)</f>
        <v>19.940000000000001</v>
      </c>
      <c r="N85" s="5">
        <v>398.74</v>
      </c>
    </row>
    <row r="86" spans="1:14" ht="50" x14ac:dyDescent="0.25">
      <c r="A86" s="36"/>
      <c r="B86" s="52" t="s">
        <v>418</v>
      </c>
      <c r="C86" s="35" t="s">
        <v>419</v>
      </c>
      <c r="D86" s="32" t="s">
        <v>25</v>
      </c>
      <c r="E86" s="31" t="e">
        <f>MC!#REF!</f>
        <v>#REF!</v>
      </c>
      <c r="F86" s="31">
        <f t="shared" si="2"/>
        <v>17.41</v>
      </c>
      <c r="G86" s="13" t="e">
        <f t="shared" si="3"/>
        <v>#REF!</v>
      </c>
      <c r="M86" s="14">
        <v>14.04</v>
      </c>
      <c r="N86" s="5"/>
    </row>
    <row r="87" spans="1:14" ht="40" x14ac:dyDescent="0.25">
      <c r="A87" s="36"/>
      <c r="B87" s="52" t="s">
        <v>420</v>
      </c>
      <c r="C87" s="35" t="s">
        <v>421</v>
      </c>
      <c r="D87" s="32" t="s">
        <v>25</v>
      </c>
      <c r="E87" s="31" t="e">
        <f>MC!#REF!</f>
        <v>#REF!</v>
      </c>
      <c r="F87" s="31">
        <f t="shared" si="2"/>
        <v>22.82</v>
      </c>
      <c r="G87" s="13" t="e">
        <f t="shared" si="3"/>
        <v>#REF!</v>
      </c>
      <c r="M87" s="43">
        <v>18.399999999999999</v>
      </c>
      <c r="N87" s="41"/>
    </row>
    <row r="88" spans="1:14" ht="50" x14ac:dyDescent="0.25">
      <c r="A88" s="36"/>
      <c r="B88" s="52" t="s">
        <v>422</v>
      </c>
      <c r="C88" s="35" t="s">
        <v>423</v>
      </c>
      <c r="D88" s="32" t="s">
        <v>50</v>
      </c>
      <c r="E88" s="31" t="e">
        <f>MC!#REF!</f>
        <v>#REF!</v>
      </c>
      <c r="F88" s="31">
        <f t="shared" si="2"/>
        <v>10.210000000000001</v>
      </c>
      <c r="G88" s="13" t="e">
        <f t="shared" si="3"/>
        <v>#REF!</v>
      </c>
      <c r="M88" s="43">
        <v>8.23</v>
      </c>
      <c r="N88" s="5"/>
    </row>
    <row r="89" spans="1:14" ht="40" x14ac:dyDescent="0.25">
      <c r="A89" s="17"/>
      <c r="B89" s="52" t="s">
        <v>424</v>
      </c>
      <c r="C89" s="35" t="s">
        <v>425</v>
      </c>
      <c r="D89" s="32" t="s">
        <v>25</v>
      </c>
      <c r="E89" s="31" t="e">
        <f>MC!#REF!</f>
        <v>#REF!</v>
      </c>
      <c r="F89" s="31">
        <f t="shared" si="2"/>
        <v>54.36</v>
      </c>
      <c r="G89" s="13" t="e">
        <f t="shared" si="3"/>
        <v>#REF!</v>
      </c>
      <c r="M89" s="43">
        <v>43.84</v>
      </c>
      <c r="N89" s="5"/>
    </row>
    <row r="90" spans="1:14" ht="13" x14ac:dyDescent="0.3">
      <c r="A90" s="10" t="s">
        <v>177</v>
      </c>
      <c r="B90" s="54"/>
      <c r="C90" s="11" t="s">
        <v>426</v>
      </c>
      <c r="D90" s="12"/>
      <c r="E90" s="13"/>
      <c r="F90" s="31">
        <f t="shared" si="2"/>
        <v>0</v>
      </c>
      <c r="G90" s="27" t="e">
        <f>SUM(G91:G100)</f>
        <v>#REF!</v>
      </c>
      <c r="M90" s="14"/>
      <c r="N90" s="5"/>
    </row>
    <row r="91" spans="1:14" ht="30" x14ac:dyDescent="0.25">
      <c r="A91" s="17"/>
      <c r="B91" s="52" t="s">
        <v>427</v>
      </c>
      <c r="C91" s="35" t="s">
        <v>428</v>
      </c>
      <c r="D91" s="32" t="s">
        <v>25</v>
      </c>
      <c r="E91" s="31" t="e">
        <f>MC!#REF!</f>
        <v>#REF!</v>
      </c>
      <c r="F91" s="31">
        <f t="shared" si="2"/>
        <v>9.25</v>
      </c>
      <c r="G91" s="13" t="e">
        <f t="shared" si="3"/>
        <v>#REF!</v>
      </c>
      <c r="M91" s="43">
        <v>7.46</v>
      </c>
      <c r="N91" s="5"/>
    </row>
    <row r="92" spans="1:14" ht="40" x14ac:dyDescent="0.25">
      <c r="A92" s="36"/>
      <c r="B92" s="52" t="s">
        <v>429</v>
      </c>
      <c r="C92" s="35" t="s">
        <v>430</v>
      </c>
      <c r="D92" s="32" t="s">
        <v>25</v>
      </c>
      <c r="E92" s="31" t="e">
        <f>MC!#REF!</f>
        <v>#REF!</v>
      </c>
      <c r="F92" s="31">
        <f t="shared" si="2"/>
        <v>4.4800000000000004</v>
      </c>
      <c r="G92" s="13" t="e">
        <f t="shared" si="3"/>
        <v>#REF!</v>
      </c>
      <c r="M92" s="14">
        <v>3.61</v>
      </c>
      <c r="N92" s="5"/>
    </row>
    <row r="93" spans="1:14" ht="40" x14ac:dyDescent="0.25">
      <c r="A93" s="36"/>
      <c r="B93" s="52" t="s">
        <v>431</v>
      </c>
      <c r="C93" s="15" t="s">
        <v>432</v>
      </c>
      <c r="D93" s="32" t="s">
        <v>25</v>
      </c>
      <c r="E93" s="31" t="e">
        <f>MC!#REF!</f>
        <v>#REF!</v>
      </c>
      <c r="F93" s="31">
        <f t="shared" si="2"/>
        <v>6.81</v>
      </c>
      <c r="G93" s="13" t="e">
        <f t="shared" si="3"/>
        <v>#REF!</v>
      </c>
      <c r="M93" s="14">
        <v>5.49</v>
      </c>
      <c r="N93" s="5"/>
    </row>
    <row r="94" spans="1:14" ht="40" x14ac:dyDescent="0.25">
      <c r="A94" s="36"/>
      <c r="B94" s="52" t="s">
        <v>433</v>
      </c>
      <c r="C94" s="35" t="s">
        <v>434</v>
      </c>
      <c r="D94" s="32" t="s">
        <v>25</v>
      </c>
      <c r="E94" s="31" t="e">
        <f>MC!#REF!</f>
        <v>#REF!</v>
      </c>
      <c r="F94" s="31">
        <f t="shared" si="2"/>
        <v>7.73</v>
      </c>
      <c r="G94" s="13" t="e">
        <f t="shared" si="3"/>
        <v>#REF!</v>
      </c>
      <c r="M94" s="14">
        <v>6.23</v>
      </c>
      <c r="N94" s="5"/>
    </row>
    <row r="95" spans="1:14" ht="40" x14ac:dyDescent="0.25">
      <c r="A95" s="36"/>
      <c r="B95" s="52" t="s">
        <v>435</v>
      </c>
      <c r="C95" s="35" t="s">
        <v>436</v>
      </c>
      <c r="D95" s="32" t="s">
        <v>25</v>
      </c>
      <c r="E95" s="31" t="e">
        <f>MC!#REF!</f>
        <v>#REF!</v>
      </c>
      <c r="F95" s="31">
        <f t="shared" si="2"/>
        <v>8.59</v>
      </c>
      <c r="G95" s="13" t="e">
        <f t="shared" si="3"/>
        <v>#REF!</v>
      </c>
      <c r="M95" s="14">
        <v>6.93</v>
      </c>
      <c r="N95" s="5"/>
    </row>
    <row r="96" spans="1:14" ht="40" x14ac:dyDescent="0.25">
      <c r="A96" s="36"/>
      <c r="B96" s="52" t="s">
        <v>437</v>
      </c>
      <c r="C96" s="35" t="s">
        <v>438</v>
      </c>
      <c r="D96" s="32" t="s">
        <v>25</v>
      </c>
      <c r="E96" s="31" t="e">
        <f>MC!#REF!</f>
        <v>#REF!</v>
      </c>
      <c r="F96" s="31">
        <f t="shared" si="2"/>
        <v>8.41</v>
      </c>
      <c r="G96" s="13" t="e">
        <f t="shared" si="3"/>
        <v>#REF!</v>
      </c>
      <c r="M96" s="14">
        <v>6.78</v>
      </c>
      <c r="N96" s="5"/>
    </row>
    <row r="97" spans="1:14" ht="40" x14ac:dyDescent="0.25">
      <c r="A97" s="36"/>
      <c r="B97" s="52" t="s">
        <v>439</v>
      </c>
      <c r="C97" s="35" t="s">
        <v>440</v>
      </c>
      <c r="D97" s="32" t="s">
        <v>25</v>
      </c>
      <c r="E97" s="31" t="e">
        <f>MC!#REF!</f>
        <v>#REF!</v>
      </c>
      <c r="F97" s="31">
        <f t="shared" si="2"/>
        <v>13.79</v>
      </c>
      <c r="G97" s="13" t="e">
        <f t="shared" si="3"/>
        <v>#REF!</v>
      </c>
      <c r="M97" s="14">
        <v>11.12</v>
      </c>
      <c r="N97" s="5"/>
    </row>
    <row r="98" spans="1:14" ht="40" x14ac:dyDescent="0.25">
      <c r="A98" s="36"/>
      <c r="B98" s="52" t="s">
        <v>441</v>
      </c>
      <c r="C98" s="35" t="s">
        <v>442</v>
      </c>
      <c r="D98" s="32" t="s">
        <v>25</v>
      </c>
      <c r="E98" s="31" t="e">
        <f>MC!#REF!</f>
        <v>#REF!</v>
      </c>
      <c r="F98" s="31">
        <f t="shared" si="2"/>
        <v>11.09</v>
      </c>
      <c r="G98" s="13" t="e">
        <f t="shared" si="3"/>
        <v>#REF!</v>
      </c>
      <c r="M98" s="14">
        <v>8.94</v>
      </c>
      <c r="N98" s="5"/>
    </row>
    <row r="99" spans="1:14" ht="24.75" customHeight="1" x14ac:dyDescent="0.25">
      <c r="A99" s="36"/>
      <c r="B99" s="52" t="s">
        <v>443</v>
      </c>
      <c r="C99" s="35" t="s">
        <v>444</v>
      </c>
      <c r="D99" s="32" t="s">
        <v>25</v>
      </c>
      <c r="E99" s="31" t="e">
        <f>MC!#REF!</f>
        <v>#REF!</v>
      </c>
      <c r="F99" s="31">
        <f t="shared" si="2"/>
        <v>15.55</v>
      </c>
      <c r="G99" s="13" t="e">
        <f t="shared" si="3"/>
        <v>#REF!</v>
      </c>
      <c r="M99" s="14">
        <v>12.54</v>
      </c>
      <c r="N99" s="5"/>
    </row>
    <row r="100" spans="1:14" ht="40" x14ac:dyDescent="0.25">
      <c r="A100" s="17"/>
      <c r="B100" s="52" t="s">
        <v>445</v>
      </c>
      <c r="C100" s="35" t="s">
        <v>446</v>
      </c>
      <c r="D100" s="32" t="s">
        <v>25</v>
      </c>
      <c r="E100" s="31" t="e">
        <f>MC!#REF!</f>
        <v>#REF!</v>
      </c>
      <c r="F100" s="31">
        <f t="shared" si="2"/>
        <v>13.93</v>
      </c>
      <c r="G100" s="13" t="e">
        <f t="shared" si="3"/>
        <v>#REF!</v>
      </c>
      <c r="M100" s="14">
        <v>11.23</v>
      </c>
      <c r="N100" s="5"/>
    </row>
    <row r="101" spans="1:14" ht="13" x14ac:dyDescent="0.3">
      <c r="A101" s="10" t="s">
        <v>216</v>
      </c>
      <c r="B101" s="54"/>
      <c r="C101" s="11" t="s">
        <v>447</v>
      </c>
      <c r="D101" s="12"/>
      <c r="E101" s="13"/>
      <c r="F101" s="31">
        <f t="shared" si="2"/>
        <v>0</v>
      </c>
      <c r="G101" s="27" t="e">
        <f>SUM(G102:L138)</f>
        <v>#REF!</v>
      </c>
      <c r="M101" s="14"/>
      <c r="N101" s="5"/>
    </row>
    <row r="102" spans="1:14" ht="51.75" customHeight="1" x14ac:dyDescent="0.25">
      <c r="A102" s="36"/>
      <c r="B102" s="52" t="s">
        <v>448</v>
      </c>
      <c r="C102" s="42" t="s">
        <v>449</v>
      </c>
      <c r="D102" s="32" t="s">
        <v>183</v>
      </c>
      <c r="E102" s="31" t="e">
        <f>MC!#REF!</f>
        <v>#REF!</v>
      </c>
      <c r="F102" s="31">
        <f t="shared" si="2"/>
        <v>79.14</v>
      </c>
      <c r="G102" s="13" t="e">
        <f t="shared" si="3"/>
        <v>#REF!</v>
      </c>
      <c r="M102" s="43">
        <v>63.82</v>
      </c>
      <c r="N102" s="5"/>
    </row>
    <row r="103" spans="1:14" ht="62.5" x14ac:dyDescent="0.25">
      <c r="A103" s="36"/>
      <c r="B103" s="52" t="s">
        <v>450</v>
      </c>
      <c r="C103" s="35" t="s">
        <v>451</v>
      </c>
      <c r="D103" s="32" t="s">
        <v>183</v>
      </c>
      <c r="E103" s="31" t="e">
        <f>MC!#REF!</f>
        <v>#REF!</v>
      </c>
      <c r="F103" s="31">
        <f t="shared" si="2"/>
        <v>201.09</v>
      </c>
      <c r="G103" s="13" t="e">
        <f t="shared" si="3"/>
        <v>#REF!</v>
      </c>
      <c r="M103" s="43">
        <v>162.16999999999999</v>
      </c>
      <c r="N103" s="5"/>
    </row>
    <row r="104" spans="1:14" ht="64.5" customHeight="1" x14ac:dyDescent="0.25">
      <c r="A104" s="36"/>
      <c r="B104" s="52" t="s">
        <v>452</v>
      </c>
      <c r="C104" s="38" t="s">
        <v>453</v>
      </c>
      <c r="D104" s="32" t="s">
        <v>183</v>
      </c>
      <c r="E104" s="31" t="e">
        <f>MC!#REF!</f>
        <v>#REF!</v>
      </c>
      <c r="F104" s="31">
        <f t="shared" si="2"/>
        <v>67.290000000000006</v>
      </c>
      <c r="G104" s="13" t="e">
        <f t="shared" si="3"/>
        <v>#REF!</v>
      </c>
      <c r="M104" s="43">
        <v>54.27</v>
      </c>
      <c r="N104" s="5"/>
    </row>
    <row r="105" spans="1:14" ht="62.5" x14ac:dyDescent="0.25">
      <c r="A105" s="36"/>
      <c r="B105" s="52" t="s">
        <v>454</v>
      </c>
      <c r="C105" s="35" t="s">
        <v>455</v>
      </c>
      <c r="D105" s="32" t="s">
        <v>183</v>
      </c>
      <c r="E105" s="31" t="e">
        <f>MC!#REF!</f>
        <v>#REF!</v>
      </c>
      <c r="F105" s="31">
        <f t="shared" si="2"/>
        <v>101.98</v>
      </c>
      <c r="G105" s="13" t="e">
        <f t="shared" si="3"/>
        <v>#REF!</v>
      </c>
      <c r="M105" s="43">
        <v>82.24</v>
      </c>
      <c r="N105" s="5"/>
    </row>
    <row r="106" spans="1:14" ht="62.5" x14ac:dyDescent="0.25">
      <c r="A106" s="36"/>
      <c r="B106" s="52" t="s">
        <v>456</v>
      </c>
      <c r="C106" s="38" t="s">
        <v>457</v>
      </c>
      <c r="D106" s="32" t="s">
        <v>183</v>
      </c>
      <c r="E106" s="31" t="e">
        <f>MC!#REF!</f>
        <v>#REF!</v>
      </c>
      <c r="F106" s="31">
        <f t="shared" si="2"/>
        <v>127.67</v>
      </c>
      <c r="G106" s="13" t="e">
        <f t="shared" si="3"/>
        <v>#REF!</v>
      </c>
      <c r="M106" s="43">
        <v>102.96</v>
      </c>
      <c r="N106" s="5"/>
    </row>
    <row r="107" spans="1:14" ht="75" x14ac:dyDescent="0.25">
      <c r="A107" s="36"/>
      <c r="B107" s="52" t="s">
        <v>458</v>
      </c>
      <c r="C107" s="35" t="s">
        <v>459</v>
      </c>
      <c r="D107" s="32" t="s">
        <v>183</v>
      </c>
      <c r="E107" s="31" t="e">
        <f>MC!#REF!</f>
        <v>#REF!</v>
      </c>
      <c r="F107" s="31">
        <f t="shared" si="2"/>
        <v>122.83</v>
      </c>
      <c r="G107" s="13" t="e">
        <f t="shared" si="3"/>
        <v>#REF!</v>
      </c>
      <c r="M107" s="43">
        <v>99.06</v>
      </c>
      <c r="N107" s="5"/>
    </row>
    <row r="108" spans="1:14" ht="75" x14ac:dyDescent="0.25">
      <c r="A108" s="36"/>
      <c r="B108" s="52" t="s">
        <v>460</v>
      </c>
      <c r="C108" s="35" t="s">
        <v>461</v>
      </c>
      <c r="D108" s="32" t="s">
        <v>183</v>
      </c>
      <c r="E108" s="31" t="e">
        <f>MC!#REF!</f>
        <v>#REF!</v>
      </c>
      <c r="F108" s="31">
        <f t="shared" si="2"/>
        <v>127.78</v>
      </c>
      <c r="G108" s="13" t="e">
        <f t="shared" si="3"/>
        <v>#REF!</v>
      </c>
      <c r="M108" s="43">
        <v>103.05</v>
      </c>
      <c r="N108" s="5"/>
    </row>
    <row r="109" spans="1:14" ht="75" x14ac:dyDescent="0.25">
      <c r="A109" s="36"/>
      <c r="B109" s="52" t="s">
        <v>462</v>
      </c>
      <c r="C109" s="35" t="s">
        <v>463</v>
      </c>
      <c r="D109" s="32" t="s">
        <v>183</v>
      </c>
      <c r="E109" s="31" t="e">
        <f>MC!#REF!</f>
        <v>#REF!</v>
      </c>
      <c r="F109" s="31">
        <f t="shared" si="2"/>
        <v>205.43</v>
      </c>
      <c r="G109" s="13" t="e">
        <f t="shared" si="3"/>
        <v>#REF!</v>
      </c>
      <c r="M109" s="43">
        <v>165.67</v>
      </c>
      <c r="N109" s="5"/>
    </row>
    <row r="110" spans="1:14" ht="100" x14ac:dyDescent="0.25">
      <c r="A110" s="36"/>
      <c r="B110" s="52" t="s">
        <v>464</v>
      </c>
      <c r="C110" s="35" t="s">
        <v>465</v>
      </c>
      <c r="D110" s="32" t="s">
        <v>183</v>
      </c>
      <c r="E110" s="31" t="e">
        <f>MC!#REF!</f>
        <v>#REF!</v>
      </c>
      <c r="F110" s="31">
        <f t="shared" si="2"/>
        <v>236.98</v>
      </c>
      <c r="G110" s="13" t="e">
        <f t="shared" si="3"/>
        <v>#REF!</v>
      </c>
      <c r="M110" s="43">
        <v>191.11</v>
      </c>
      <c r="N110" s="5"/>
    </row>
    <row r="111" spans="1:14" ht="64.5" customHeight="1" x14ac:dyDescent="0.25">
      <c r="A111" s="17"/>
      <c r="B111" s="52" t="s">
        <v>466</v>
      </c>
      <c r="C111" s="35" t="s">
        <v>467</v>
      </c>
      <c r="D111" s="32" t="s">
        <v>183</v>
      </c>
      <c r="E111" s="31" t="e">
        <f>MC!#REF!</f>
        <v>#REF!</v>
      </c>
      <c r="F111" s="31">
        <f t="shared" si="2"/>
        <v>114.75</v>
      </c>
      <c r="G111" s="13" t="e">
        <f t="shared" si="3"/>
        <v>#REF!</v>
      </c>
      <c r="M111" s="14">
        <v>92.54</v>
      </c>
      <c r="N111" s="5"/>
    </row>
    <row r="112" spans="1:14" x14ac:dyDescent="0.25">
      <c r="A112" s="17"/>
      <c r="B112" s="52"/>
      <c r="C112" s="15"/>
      <c r="D112" s="32"/>
      <c r="E112" s="31" t="e">
        <f>MC!#REF!</f>
        <v>#REF!</v>
      </c>
      <c r="F112" s="31">
        <f t="shared" si="2"/>
        <v>0</v>
      </c>
      <c r="G112" s="13" t="e">
        <f t="shared" si="3"/>
        <v>#REF!</v>
      </c>
      <c r="M112" s="14"/>
      <c r="N112" s="5"/>
    </row>
    <row r="113" spans="1:15" ht="40" x14ac:dyDescent="0.25">
      <c r="A113" s="17"/>
      <c r="B113" s="52" t="s">
        <v>468</v>
      </c>
      <c r="C113" s="35" t="s">
        <v>469</v>
      </c>
      <c r="D113" s="32" t="s">
        <v>203</v>
      </c>
      <c r="E113" s="31" t="e">
        <f>MC!#REF!</f>
        <v>#REF!</v>
      </c>
      <c r="F113" s="31">
        <f t="shared" si="2"/>
        <v>68.31</v>
      </c>
      <c r="G113" s="13" t="e">
        <f t="shared" si="3"/>
        <v>#REF!</v>
      </c>
      <c r="M113" s="14">
        <v>55.09</v>
      </c>
      <c r="N113" s="5"/>
    </row>
    <row r="114" spans="1:15" ht="90" customHeight="1" x14ac:dyDescent="0.25">
      <c r="A114" s="36"/>
      <c r="B114" s="52" t="s">
        <v>470</v>
      </c>
      <c r="C114" s="35" t="s">
        <v>471</v>
      </c>
      <c r="D114" s="32" t="s">
        <v>203</v>
      </c>
      <c r="E114" s="31" t="e">
        <f>MC!#REF!</f>
        <v>#REF!</v>
      </c>
      <c r="F114" s="31">
        <f t="shared" si="2"/>
        <v>42.8</v>
      </c>
      <c r="G114" s="13" t="e">
        <f t="shared" si="3"/>
        <v>#REF!</v>
      </c>
      <c r="M114" s="14">
        <v>34.520000000000003</v>
      </c>
      <c r="N114" s="5"/>
    </row>
    <row r="115" spans="1:15" ht="75" x14ac:dyDescent="0.25">
      <c r="A115" s="36"/>
      <c r="B115" s="52" t="s">
        <v>472</v>
      </c>
      <c r="C115" s="35" t="s">
        <v>473</v>
      </c>
      <c r="D115" s="32" t="s">
        <v>203</v>
      </c>
      <c r="E115" s="31" t="e">
        <f>MC!#REF!</f>
        <v>#REF!</v>
      </c>
      <c r="F115" s="31">
        <f t="shared" si="2"/>
        <v>430.22</v>
      </c>
      <c r="G115" s="13" t="e">
        <f t="shared" si="3"/>
        <v>#REF!</v>
      </c>
      <c r="M115" s="14">
        <v>346.95</v>
      </c>
      <c r="N115" s="5"/>
    </row>
    <row r="116" spans="1:15" ht="75" x14ac:dyDescent="0.25">
      <c r="A116" s="36"/>
      <c r="B116" s="52" t="s">
        <v>474</v>
      </c>
      <c r="C116" s="35" t="s">
        <v>475</v>
      </c>
      <c r="D116" s="32" t="s">
        <v>203</v>
      </c>
      <c r="E116" s="31" t="e">
        <f>MC!#REF!</f>
        <v>#REF!</v>
      </c>
      <c r="F116" s="31">
        <f t="shared" si="2"/>
        <v>470.46</v>
      </c>
      <c r="G116" s="13" t="e">
        <f t="shared" si="3"/>
        <v>#REF!</v>
      </c>
      <c r="M116" s="14">
        <v>379.4</v>
      </c>
      <c r="N116" s="5"/>
    </row>
    <row r="117" spans="1:15" ht="50" x14ac:dyDescent="0.25">
      <c r="A117" s="36"/>
      <c r="B117" s="52" t="s">
        <v>476</v>
      </c>
      <c r="C117" s="35" t="s">
        <v>477</v>
      </c>
      <c r="D117" s="32" t="s">
        <v>203</v>
      </c>
      <c r="E117" s="31" t="e">
        <f>MC!#REF!</f>
        <v>#REF!</v>
      </c>
      <c r="F117" s="31">
        <f t="shared" si="2"/>
        <v>11.88</v>
      </c>
      <c r="G117" s="13" t="e">
        <f t="shared" si="3"/>
        <v>#REF!</v>
      </c>
      <c r="M117" s="14">
        <v>9.58</v>
      </c>
      <c r="N117" s="5"/>
    </row>
    <row r="118" spans="1:15" ht="52.5" customHeight="1" x14ac:dyDescent="0.25">
      <c r="A118" s="36"/>
      <c r="B118" s="52" t="s">
        <v>478</v>
      </c>
      <c r="C118" s="35" t="s">
        <v>479</v>
      </c>
      <c r="D118" s="32" t="s">
        <v>480</v>
      </c>
      <c r="E118" s="31" t="e">
        <f>MC!#REF!</f>
        <v>#REF!</v>
      </c>
      <c r="F118" s="31">
        <f t="shared" si="2"/>
        <v>68.180000000000007</v>
      </c>
      <c r="G118" s="13" t="e">
        <f t="shared" si="3"/>
        <v>#REF!</v>
      </c>
      <c r="M118" s="14">
        <v>54.98</v>
      </c>
      <c r="N118" s="5"/>
    </row>
    <row r="119" spans="1:15" ht="52.5" customHeight="1" x14ac:dyDescent="0.25">
      <c r="A119" s="36"/>
      <c r="B119" s="52" t="s">
        <v>481</v>
      </c>
      <c r="C119" s="35" t="s">
        <v>482</v>
      </c>
      <c r="D119" s="32" t="s">
        <v>480</v>
      </c>
      <c r="E119" s="31" t="e">
        <f>MC!#REF!</f>
        <v>#REF!</v>
      </c>
      <c r="F119" s="31">
        <f t="shared" si="2"/>
        <v>78.89</v>
      </c>
      <c r="G119" s="13" t="e">
        <f t="shared" si="3"/>
        <v>#REF!</v>
      </c>
      <c r="M119" s="14">
        <v>63.62</v>
      </c>
      <c r="N119" s="5"/>
    </row>
    <row r="120" spans="1:15" ht="51" customHeight="1" x14ac:dyDescent="0.25">
      <c r="A120" s="36"/>
      <c r="B120" s="52" t="s">
        <v>483</v>
      </c>
      <c r="C120" s="35" t="s">
        <v>484</v>
      </c>
      <c r="D120" s="32" t="s">
        <v>480</v>
      </c>
      <c r="E120" s="31" t="e">
        <f>MC!#REF!</f>
        <v>#REF!</v>
      </c>
      <c r="F120" s="31">
        <f t="shared" si="2"/>
        <v>112.1</v>
      </c>
      <c r="G120" s="13" t="e">
        <f t="shared" si="3"/>
        <v>#REF!</v>
      </c>
      <c r="M120" s="14">
        <v>90.4</v>
      </c>
      <c r="N120" s="5"/>
    </row>
    <row r="121" spans="1:15" ht="40" x14ac:dyDescent="0.25">
      <c r="A121" s="36"/>
      <c r="B121" s="52" t="s">
        <v>485</v>
      </c>
      <c r="C121" s="35" t="s">
        <v>486</v>
      </c>
      <c r="D121" s="32" t="s">
        <v>480</v>
      </c>
      <c r="E121" s="31" t="e">
        <f>MC!#REF!</f>
        <v>#REF!</v>
      </c>
      <c r="F121" s="31">
        <f t="shared" si="2"/>
        <v>25.54</v>
      </c>
      <c r="G121" s="13" t="e">
        <f t="shared" si="3"/>
        <v>#REF!</v>
      </c>
      <c r="M121" s="14">
        <v>20.6</v>
      </c>
      <c r="N121" s="5"/>
    </row>
    <row r="122" spans="1:15" ht="30" x14ac:dyDescent="0.25">
      <c r="A122" s="17"/>
      <c r="B122" s="52" t="s">
        <v>487</v>
      </c>
      <c r="C122" s="35" t="s">
        <v>488</v>
      </c>
      <c r="D122" s="32" t="s">
        <v>203</v>
      </c>
      <c r="E122" s="31" t="e">
        <f>MC!#REF!</f>
        <v>#REF!</v>
      </c>
      <c r="F122" s="31">
        <f t="shared" si="2"/>
        <v>998.26</v>
      </c>
      <c r="G122" s="13" t="e">
        <f t="shared" si="3"/>
        <v>#REF!</v>
      </c>
      <c r="M122" s="14">
        <v>805.05</v>
      </c>
      <c r="N122" s="5"/>
    </row>
    <row r="123" spans="1:15" ht="25" x14ac:dyDescent="0.25">
      <c r="A123" s="36"/>
      <c r="B123" s="52" t="s">
        <v>489</v>
      </c>
      <c r="C123" s="35" t="s">
        <v>490</v>
      </c>
      <c r="D123" s="32" t="s">
        <v>203</v>
      </c>
      <c r="E123" s="31" t="e">
        <f>MC!#REF!</f>
        <v>#REF!</v>
      </c>
      <c r="F123" s="31">
        <f t="shared" si="2"/>
        <v>1336.58</v>
      </c>
      <c r="G123" s="13" t="e">
        <f t="shared" si="3"/>
        <v>#REF!</v>
      </c>
      <c r="M123" s="43">
        <v>1077.8899999999999</v>
      </c>
      <c r="N123" s="5"/>
    </row>
    <row r="124" spans="1:15" x14ac:dyDescent="0.25">
      <c r="A124" s="36"/>
      <c r="B124" s="52"/>
      <c r="C124" s="35"/>
      <c r="D124" s="32"/>
      <c r="E124" s="31" t="e">
        <f>MC!#REF!</f>
        <v>#REF!</v>
      </c>
      <c r="F124" s="31">
        <f t="shared" si="2"/>
        <v>0</v>
      </c>
      <c r="G124" s="13" t="e">
        <f t="shared" si="3"/>
        <v>#REF!</v>
      </c>
      <c r="M124" s="14"/>
      <c r="N124" s="5"/>
    </row>
    <row r="125" spans="1:15" ht="40" x14ac:dyDescent="0.25">
      <c r="A125" s="17"/>
      <c r="B125" s="55" t="s">
        <v>448</v>
      </c>
      <c r="C125" s="38" t="s">
        <v>491</v>
      </c>
      <c r="D125" s="32" t="s">
        <v>183</v>
      </c>
      <c r="E125" s="31" t="e">
        <f>MC!#REF!</f>
        <v>#REF!</v>
      </c>
      <c r="F125" s="31">
        <f t="shared" si="2"/>
        <v>23.75</v>
      </c>
      <c r="G125" s="13" t="e">
        <f t="shared" si="3"/>
        <v>#REF!</v>
      </c>
      <c r="M125" s="14">
        <f t="shared" ref="M125:M126" si="4">ROUND(N125*0.3,2)</f>
        <v>19.149999999999999</v>
      </c>
      <c r="N125" s="5">
        <v>63.82</v>
      </c>
      <c r="O125" s="33"/>
    </row>
    <row r="126" spans="1:15" ht="40" x14ac:dyDescent="0.25">
      <c r="A126" s="17"/>
      <c r="B126" s="55" t="s">
        <v>452</v>
      </c>
      <c r="C126" s="38" t="s">
        <v>492</v>
      </c>
      <c r="D126" s="32" t="s">
        <v>183</v>
      </c>
      <c r="E126" s="31" t="e">
        <f>MC!#REF!</f>
        <v>#REF!</v>
      </c>
      <c r="F126" s="31">
        <f t="shared" si="2"/>
        <v>20.190000000000001</v>
      </c>
      <c r="G126" s="13" t="e">
        <f t="shared" si="3"/>
        <v>#REF!</v>
      </c>
      <c r="M126" s="14">
        <f t="shared" si="4"/>
        <v>16.28</v>
      </c>
      <c r="N126" s="5">
        <v>54.27</v>
      </c>
      <c r="O126" s="33"/>
    </row>
    <row r="127" spans="1:15" ht="40" x14ac:dyDescent="0.25">
      <c r="A127" s="17"/>
      <c r="B127" s="55" t="s">
        <v>460</v>
      </c>
      <c r="C127" s="35" t="s">
        <v>493</v>
      </c>
      <c r="D127" s="32" t="s">
        <v>183</v>
      </c>
      <c r="E127" s="31" t="e">
        <f>MC!#REF!</f>
        <v>#REF!</v>
      </c>
      <c r="F127" s="31">
        <f t="shared" si="2"/>
        <v>38.340000000000003</v>
      </c>
      <c r="G127" s="13" t="e">
        <f t="shared" si="3"/>
        <v>#REF!</v>
      </c>
      <c r="M127" s="14">
        <f>ROUND(N127*0.3,2)</f>
        <v>30.92</v>
      </c>
      <c r="N127" s="5">
        <v>103.05</v>
      </c>
      <c r="O127" s="33"/>
    </row>
    <row r="128" spans="1:15" ht="62.5" x14ac:dyDescent="0.25">
      <c r="A128" s="17"/>
      <c r="B128" s="52" t="s">
        <v>494</v>
      </c>
      <c r="C128" s="35" t="s">
        <v>495</v>
      </c>
      <c r="D128" s="32" t="s">
        <v>183</v>
      </c>
      <c r="E128" s="31" t="e">
        <f>MC!#REF!</f>
        <v>#REF!</v>
      </c>
      <c r="F128" s="31">
        <f t="shared" si="2"/>
        <v>177.7</v>
      </c>
      <c r="G128" s="13" t="e">
        <f t="shared" si="3"/>
        <v>#REF!</v>
      </c>
      <c r="M128" s="43">
        <v>143.31</v>
      </c>
      <c r="N128" s="5"/>
    </row>
    <row r="129" spans="1:15" ht="40" x14ac:dyDescent="0.25">
      <c r="A129" s="17"/>
      <c r="B129" s="52" t="s">
        <v>496</v>
      </c>
      <c r="C129" s="35" t="s">
        <v>497</v>
      </c>
      <c r="D129" s="32" t="s">
        <v>50</v>
      </c>
      <c r="E129" s="31" t="e">
        <f>MC!#REF!</f>
        <v>#REF!</v>
      </c>
      <c r="F129" s="31">
        <f t="shared" si="2"/>
        <v>8.36</v>
      </c>
      <c r="G129" s="13" t="e">
        <f t="shared" si="3"/>
        <v>#REF!</v>
      </c>
      <c r="M129" s="14">
        <v>6.74</v>
      </c>
      <c r="N129" s="5"/>
    </row>
    <row r="130" spans="1:15" ht="40" x14ac:dyDescent="0.25">
      <c r="A130" s="17"/>
      <c r="B130" s="52" t="s">
        <v>498</v>
      </c>
      <c r="C130" s="38" t="s">
        <v>499</v>
      </c>
      <c r="D130" s="32" t="s">
        <v>50</v>
      </c>
      <c r="E130" s="31" t="e">
        <f>MC!#REF!</f>
        <v>#REF!</v>
      </c>
      <c r="F130" s="31">
        <f t="shared" si="2"/>
        <v>9.75</v>
      </c>
      <c r="G130" s="13" t="e">
        <f t="shared" si="3"/>
        <v>#REF!</v>
      </c>
      <c r="M130" s="14">
        <v>7.86</v>
      </c>
      <c r="N130" s="5"/>
    </row>
    <row r="131" spans="1:15" ht="40" x14ac:dyDescent="0.25">
      <c r="A131" s="17"/>
      <c r="B131" s="52" t="s">
        <v>500</v>
      </c>
      <c r="C131" s="38" t="s">
        <v>501</v>
      </c>
      <c r="D131" s="32" t="s">
        <v>50</v>
      </c>
      <c r="E131" s="31" t="e">
        <f>MC!#REF!</f>
        <v>#REF!</v>
      </c>
      <c r="F131" s="31">
        <f t="shared" si="2"/>
        <v>2.96</v>
      </c>
      <c r="G131" s="13" t="e">
        <f t="shared" si="3"/>
        <v>#REF!</v>
      </c>
      <c r="M131" s="14">
        <v>2.39</v>
      </c>
      <c r="N131" s="5"/>
    </row>
    <row r="132" spans="1:15" ht="40" x14ac:dyDescent="0.25">
      <c r="A132" s="17"/>
      <c r="B132" s="52" t="s">
        <v>502</v>
      </c>
      <c r="C132" s="35" t="s">
        <v>503</v>
      </c>
      <c r="D132" s="32" t="s">
        <v>50</v>
      </c>
      <c r="E132" s="31" t="e">
        <f>MC!#REF!</f>
        <v>#REF!</v>
      </c>
      <c r="F132" s="31">
        <f t="shared" si="2"/>
        <v>10.58</v>
      </c>
      <c r="G132" s="13" t="e">
        <f t="shared" si="3"/>
        <v>#REF!</v>
      </c>
      <c r="M132" s="14">
        <v>8.5299999999999994</v>
      </c>
      <c r="N132" s="5"/>
    </row>
    <row r="133" spans="1:15" ht="40" x14ac:dyDescent="0.25">
      <c r="A133" s="17"/>
      <c r="B133" s="52" t="s">
        <v>504</v>
      </c>
      <c r="C133" s="15" t="s">
        <v>505</v>
      </c>
      <c r="D133" s="32" t="s">
        <v>203</v>
      </c>
      <c r="E133" s="31" t="e">
        <f>MC!#REF!</f>
        <v>#REF!</v>
      </c>
      <c r="F133" s="31">
        <f t="shared" si="2"/>
        <v>76.25</v>
      </c>
      <c r="G133" s="13" t="e">
        <f t="shared" si="3"/>
        <v>#REF!</v>
      </c>
      <c r="M133" s="14">
        <v>61.49</v>
      </c>
      <c r="N133" s="5"/>
    </row>
    <row r="134" spans="1:15" ht="40" x14ac:dyDescent="0.25">
      <c r="A134" s="17"/>
      <c r="B134" s="52" t="s">
        <v>506</v>
      </c>
      <c r="C134" s="35" t="s">
        <v>507</v>
      </c>
      <c r="D134" s="32" t="s">
        <v>203</v>
      </c>
      <c r="E134" s="31" t="e">
        <f>MC!#REF!</f>
        <v>#REF!</v>
      </c>
      <c r="F134" s="31">
        <f t="shared" si="2"/>
        <v>123.23</v>
      </c>
      <c r="G134" s="13" t="e">
        <f t="shared" si="3"/>
        <v>#REF!</v>
      </c>
      <c r="M134" s="14">
        <v>99.38</v>
      </c>
      <c r="N134" s="5"/>
    </row>
    <row r="135" spans="1:15" ht="40" x14ac:dyDescent="0.25">
      <c r="A135" s="17"/>
      <c r="B135" s="52" t="s">
        <v>508</v>
      </c>
      <c r="C135" s="15" t="s">
        <v>509</v>
      </c>
      <c r="D135" s="32" t="s">
        <v>203</v>
      </c>
      <c r="E135" s="31" t="e">
        <f>MC!#REF!</f>
        <v>#REF!</v>
      </c>
      <c r="F135" s="31">
        <f t="shared" si="2"/>
        <v>6.57</v>
      </c>
      <c r="G135" s="13" t="e">
        <f t="shared" si="3"/>
        <v>#REF!</v>
      </c>
      <c r="M135" s="14">
        <v>5.3</v>
      </c>
      <c r="N135" s="5"/>
    </row>
    <row r="136" spans="1:15" ht="50" x14ac:dyDescent="0.25">
      <c r="A136" s="17"/>
      <c r="B136" s="52" t="s">
        <v>510</v>
      </c>
      <c r="C136" s="35" t="s">
        <v>511</v>
      </c>
      <c r="D136" s="32" t="s">
        <v>203</v>
      </c>
      <c r="E136" s="31" t="e">
        <f>MC!#REF!</f>
        <v>#REF!</v>
      </c>
      <c r="F136" s="31">
        <f t="shared" si="2"/>
        <v>161.61000000000001</v>
      </c>
      <c r="G136" s="13" t="e">
        <f t="shared" si="3"/>
        <v>#REF!</v>
      </c>
      <c r="M136" s="43">
        <v>130.33000000000001</v>
      </c>
      <c r="N136" s="5"/>
    </row>
    <row r="137" spans="1:15" x14ac:dyDescent="0.25">
      <c r="A137" s="17"/>
      <c r="B137" s="52"/>
      <c r="C137" s="15"/>
      <c r="D137" s="32"/>
      <c r="E137" s="31" t="e">
        <f>MC!#REF!</f>
        <v>#REF!</v>
      </c>
      <c r="F137" s="31">
        <f t="shared" si="2"/>
        <v>0</v>
      </c>
      <c r="G137" s="13" t="e">
        <f t="shared" si="3"/>
        <v>#REF!</v>
      </c>
      <c r="M137" s="14"/>
      <c r="N137" s="5"/>
    </row>
    <row r="138" spans="1:15" x14ac:dyDescent="0.25">
      <c r="A138" s="17"/>
      <c r="B138" s="52"/>
      <c r="C138" s="15"/>
      <c r="D138" s="32"/>
      <c r="E138" s="31" t="e">
        <f>MC!#REF!</f>
        <v>#REF!</v>
      </c>
      <c r="F138" s="31">
        <f t="shared" ref="F138:F190" si="5">ROUND(M138*1.24,2)</f>
        <v>0</v>
      </c>
      <c r="G138" s="13" t="e">
        <f t="shared" si="3"/>
        <v>#REF!</v>
      </c>
      <c r="M138" s="14"/>
      <c r="N138" s="5"/>
    </row>
    <row r="139" spans="1:15" ht="13" x14ac:dyDescent="0.3">
      <c r="A139" s="10" t="s">
        <v>512</v>
      </c>
      <c r="B139" s="54"/>
      <c r="C139" s="18" t="s">
        <v>513</v>
      </c>
      <c r="D139" s="19"/>
      <c r="E139" s="20"/>
      <c r="F139" s="31">
        <f t="shared" si="5"/>
        <v>0</v>
      </c>
      <c r="G139" s="27" t="e">
        <f>SUM(G140:G181)</f>
        <v>#REF!</v>
      </c>
      <c r="M139" s="21"/>
      <c r="N139" s="5"/>
    </row>
    <row r="140" spans="1:15" ht="40" x14ac:dyDescent="0.25">
      <c r="A140" s="36"/>
      <c r="B140" s="55" t="s">
        <v>514</v>
      </c>
      <c r="C140" s="35" t="s">
        <v>515</v>
      </c>
      <c r="D140" s="32" t="s">
        <v>183</v>
      </c>
      <c r="E140" s="31" t="e">
        <f>MC!#REF!</f>
        <v>#REF!</v>
      </c>
      <c r="F140" s="31">
        <f t="shared" si="5"/>
        <v>18.440000000000001</v>
      </c>
      <c r="G140" s="13" t="e">
        <f t="shared" si="3"/>
        <v>#REF!</v>
      </c>
      <c r="M140" s="14">
        <f t="shared" ref="M140" si="6">ROUND(N140*0.3,2)</f>
        <v>14.87</v>
      </c>
      <c r="N140" s="5">
        <v>49.58</v>
      </c>
      <c r="O140" s="33"/>
    </row>
    <row r="141" spans="1:15" ht="50" x14ac:dyDescent="0.25">
      <c r="A141" s="36"/>
      <c r="B141" s="52" t="s">
        <v>516</v>
      </c>
      <c r="C141" s="34" t="s">
        <v>517</v>
      </c>
      <c r="D141" s="32" t="s">
        <v>183</v>
      </c>
      <c r="E141" s="31" t="e">
        <f>MC!#REF!</f>
        <v>#REF!</v>
      </c>
      <c r="F141" s="31">
        <f t="shared" si="5"/>
        <v>69.739999999999995</v>
      </c>
      <c r="G141" s="13" t="e">
        <f t="shared" si="3"/>
        <v>#REF!</v>
      </c>
      <c r="M141" s="43">
        <v>56.24</v>
      </c>
      <c r="N141" s="5"/>
      <c r="O141" s="33"/>
    </row>
    <row r="142" spans="1:15" ht="50" x14ac:dyDescent="0.25">
      <c r="A142" s="36"/>
      <c r="B142" s="52" t="s">
        <v>518</v>
      </c>
      <c r="C142" s="34" t="s">
        <v>519</v>
      </c>
      <c r="D142" s="32" t="s">
        <v>183</v>
      </c>
      <c r="E142" s="31" t="e">
        <f>MC!#REF!</f>
        <v>#REF!</v>
      </c>
      <c r="F142" s="31">
        <f t="shared" si="5"/>
        <v>65.14</v>
      </c>
      <c r="G142" s="13" t="e">
        <f t="shared" si="3"/>
        <v>#REF!</v>
      </c>
      <c r="M142" s="43">
        <v>52.53</v>
      </c>
      <c r="N142" s="5"/>
    </row>
    <row r="143" spans="1:15" ht="50" x14ac:dyDescent="0.25">
      <c r="A143" s="36"/>
      <c r="B143" s="52" t="s">
        <v>514</v>
      </c>
      <c r="C143" s="34" t="s">
        <v>520</v>
      </c>
      <c r="D143" s="32" t="s">
        <v>183</v>
      </c>
      <c r="E143" s="31" t="e">
        <f>MC!#REF!</f>
        <v>#REF!</v>
      </c>
      <c r="F143" s="31">
        <f t="shared" si="5"/>
        <v>61.48</v>
      </c>
      <c r="G143" s="13" t="e">
        <f t="shared" si="3"/>
        <v>#REF!</v>
      </c>
      <c r="M143" s="43">
        <v>49.58</v>
      </c>
      <c r="N143" s="5"/>
    </row>
    <row r="144" spans="1:15" ht="52.5" customHeight="1" x14ac:dyDescent="0.25">
      <c r="A144" s="36"/>
      <c r="B144" s="52" t="s">
        <v>521</v>
      </c>
      <c r="C144" s="34" t="s">
        <v>522</v>
      </c>
      <c r="D144" s="32" t="s">
        <v>183</v>
      </c>
      <c r="E144" s="31" t="e">
        <f>MC!#REF!</f>
        <v>#REF!</v>
      </c>
      <c r="F144" s="31">
        <f t="shared" si="5"/>
        <v>69.2</v>
      </c>
      <c r="G144" s="13" t="e">
        <f t="shared" ref="G144:G190" si="7">ROUND(F144*E144,2)</f>
        <v>#REF!</v>
      </c>
      <c r="M144" s="43">
        <v>55.81</v>
      </c>
      <c r="N144" s="5"/>
    </row>
    <row r="145" spans="1:15" ht="40" x14ac:dyDescent="0.25">
      <c r="A145" s="36"/>
      <c r="B145" s="52" t="s">
        <v>523</v>
      </c>
      <c r="C145" s="35" t="s">
        <v>524</v>
      </c>
      <c r="D145" s="32" t="s">
        <v>183</v>
      </c>
      <c r="E145" s="31" t="e">
        <f>MC!#REF!</f>
        <v>#REF!</v>
      </c>
      <c r="F145" s="31">
        <f t="shared" si="5"/>
        <v>14.27</v>
      </c>
      <c r="G145" s="13" t="e">
        <f t="shared" si="7"/>
        <v>#REF!</v>
      </c>
      <c r="M145" s="14">
        <f t="shared" ref="M145" si="8">ROUND(N145*0.3,2)</f>
        <v>11.51</v>
      </c>
      <c r="N145" s="5">
        <v>38.369999999999997</v>
      </c>
      <c r="O145" s="33"/>
    </row>
    <row r="146" spans="1:15" ht="52.5" customHeight="1" x14ac:dyDescent="0.25">
      <c r="A146" s="36"/>
      <c r="B146" s="52" t="s">
        <v>523</v>
      </c>
      <c r="C146" s="34" t="s">
        <v>525</v>
      </c>
      <c r="D146" s="32" t="s">
        <v>183</v>
      </c>
      <c r="E146" s="31" t="e">
        <f>MC!#REF!</f>
        <v>#REF!</v>
      </c>
      <c r="F146" s="31">
        <f t="shared" si="5"/>
        <v>47.58</v>
      </c>
      <c r="G146" s="13" t="e">
        <f t="shared" si="7"/>
        <v>#REF!</v>
      </c>
      <c r="M146" s="43">
        <v>38.369999999999997</v>
      </c>
      <c r="N146" s="5"/>
    </row>
    <row r="147" spans="1:15" ht="40" x14ac:dyDescent="0.25">
      <c r="A147" s="36"/>
      <c r="B147" s="52" t="s">
        <v>526</v>
      </c>
      <c r="C147" s="35" t="s">
        <v>527</v>
      </c>
      <c r="D147" s="32" t="s">
        <v>50</v>
      </c>
      <c r="E147" s="31" t="e">
        <f>MC!#REF!</f>
        <v>#REF!</v>
      </c>
      <c r="F147" s="31">
        <f t="shared" si="5"/>
        <v>23.82</v>
      </c>
      <c r="G147" s="13" t="e">
        <f t="shared" si="7"/>
        <v>#REF!</v>
      </c>
      <c r="M147" s="14">
        <v>19.21</v>
      </c>
      <c r="N147" s="5"/>
    </row>
    <row r="148" spans="1:15" ht="87.5" x14ac:dyDescent="0.25">
      <c r="A148" s="36"/>
      <c r="B148" s="52" t="s">
        <v>528</v>
      </c>
      <c r="C148" s="34" t="s">
        <v>529</v>
      </c>
      <c r="D148" s="32" t="s">
        <v>203</v>
      </c>
      <c r="E148" s="31" t="e">
        <f>MC!#REF!</f>
        <v>#REF!</v>
      </c>
      <c r="F148" s="31">
        <f t="shared" si="5"/>
        <v>132.77000000000001</v>
      </c>
      <c r="G148" s="13" t="e">
        <f t="shared" si="7"/>
        <v>#REF!</v>
      </c>
      <c r="M148" s="14">
        <v>107.07</v>
      </c>
      <c r="N148" s="5"/>
    </row>
    <row r="149" spans="1:15" ht="50" x14ac:dyDescent="0.25">
      <c r="A149" s="36"/>
      <c r="B149" s="52" t="s">
        <v>530</v>
      </c>
      <c r="C149" s="34" t="s">
        <v>531</v>
      </c>
      <c r="D149" s="32" t="s">
        <v>480</v>
      </c>
      <c r="E149" s="31" t="e">
        <f>MC!#REF!</f>
        <v>#REF!</v>
      </c>
      <c r="F149" s="31">
        <f t="shared" si="5"/>
        <v>230.5</v>
      </c>
      <c r="G149" s="13" t="e">
        <f t="shared" si="7"/>
        <v>#REF!</v>
      </c>
      <c r="M149" s="14">
        <v>185.89</v>
      </c>
      <c r="N149" s="5"/>
    </row>
    <row r="150" spans="1:15" ht="40" x14ac:dyDescent="0.25">
      <c r="A150" s="36"/>
      <c r="B150" s="52" t="s">
        <v>532</v>
      </c>
      <c r="C150" s="35" t="s">
        <v>533</v>
      </c>
      <c r="D150" s="32" t="s">
        <v>480</v>
      </c>
      <c r="E150" s="31" t="e">
        <f>MC!#REF!</f>
        <v>#REF!</v>
      </c>
      <c r="F150" s="31">
        <f t="shared" si="5"/>
        <v>338.05</v>
      </c>
      <c r="G150" s="13" t="e">
        <f t="shared" si="7"/>
        <v>#REF!</v>
      </c>
      <c r="M150" s="14">
        <v>272.62</v>
      </c>
      <c r="N150" s="5"/>
    </row>
    <row r="151" spans="1:15" ht="50" x14ac:dyDescent="0.25">
      <c r="A151" s="36"/>
      <c r="B151" s="52" t="s">
        <v>534</v>
      </c>
      <c r="C151" s="34" t="s">
        <v>535</v>
      </c>
      <c r="D151" s="32" t="s">
        <v>480</v>
      </c>
      <c r="E151" s="31" t="e">
        <f>MC!#REF!</f>
        <v>#REF!</v>
      </c>
      <c r="F151" s="31">
        <f t="shared" si="5"/>
        <v>78.849999999999994</v>
      </c>
      <c r="G151" s="13" t="e">
        <f t="shared" si="7"/>
        <v>#REF!</v>
      </c>
      <c r="M151" s="14">
        <v>63.59</v>
      </c>
      <c r="N151" s="5"/>
    </row>
    <row r="152" spans="1:15" ht="62.5" x14ac:dyDescent="0.25">
      <c r="A152" s="36"/>
      <c r="B152" s="52" t="s">
        <v>536</v>
      </c>
      <c r="C152" s="37" t="s">
        <v>537</v>
      </c>
      <c r="D152" s="32" t="s">
        <v>480</v>
      </c>
      <c r="E152" s="31" t="e">
        <f>MC!#REF!</f>
        <v>#REF!</v>
      </c>
      <c r="F152" s="31">
        <f t="shared" si="5"/>
        <v>316.04000000000002</v>
      </c>
      <c r="G152" s="13" t="e">
        <f t="shared" si="7"/>
        <v>#REF!</v>
      </c>
      <c r="M152" s="47">
        <v>254.87</v>
      </c>
      <c r="N152" s="5"/>
    </row>
    <row r="153" spans="1:15" ht="40" x14ac:dyDescent="0.25">
      <c r="A153" s="36"/>
      <c r="B153" s="52" t="s">
        <v>538</v>
      </c>
      <c r="C153" s="34" t="s">
        <v>539</v>
      </c>
      <c r="D153" s="32" t="s">
        <v>203</v>
      </c>
      <c r="E153" s="31" t="e">
        <f>MC!#REF!</f>
        <v>#REF!</v>
      </c>
      <c r="F153" s="31">
        <f t="shared" si="5"/>
        <v>28.88</v>
      </c>
      <c r="G153" s="13" t="e">
        <f t="shared" si="7"/>
        <v>#REF!</v>
      </c>
      <c r="M153" s="47">
        <v>23.29</v>
      </c>
      <c r="N153" s="5"/>
    </row>
    <row r="154" spans="1:15" ht="40" x14ac:dyDescent="0.25">
      <c r="A154" s="36"/>
      <c r="B154" s="52" t="s">
        <v>540</v>
      </c>
      <c r="C154" s="34" t="s">
        <v>541</v>
      </c>
      <c r="D154" s="32" t="s">
        <v>203</v>
      </c>
      <c r="E154" s="31" t="e">
        <f>MC!#REF!</f>
        <v>#REF!</v>
      </c>
      <c r="F154" s="31">
        <f t="shared" si="5"/>
        <v>18.3</v>
      </c>
      <c r="G154" s="13" t="e">
        <f t="shared" si="7"/>
        <v>#REF!</v>
      </c>
      <c r="M154" s="14">
        <v>14.76</v>
      </c>
      <c r="N154" s="5"/>
    </row>
    <row r="155" spans="1:15" ht="40" x14ac:dyDescent="0.25">
      <c r="A155" s="36"/>
      <c r="B155" s="52" t="s">
        <v>542</v>
      </c>
      <c r="C155" s="34" t="s">
        <v>543</v>
      </c>
      <c r="D155" s="32" t="s">
        <v>203</v>
      </c>
      <c r="E155" s="31" t="e">
        <f>MC!#REF!</f>
        <v>#REF!</v>
      </c>
      <c r="F155" s="31">
        <f t="shared" si="5"/>
        <v>30.93</v>
      </c>
      <c r="G155" s="13" t="e">
        <f t="shared" si="7"/>
        <v>#REF!</v>
      </c>
      <c r="M155" s="14">
        <v>24.94</v>
      </c>
      <c r="N155" s="5"/>
    </row>
    <row r="156" spans="1:15" ht="75" x14ac:dyDescent="0.25">
      <c r="A156" s="36"/>
      <c r="B156" s="52" t="s">
        <v>544</v>
      </c>
      <c r="C156" s="34" t="s">
        <v>545</v>
      </c>
      <c r="D156" s="32" t="s">
        <v>480</v>
      </c>
      <c r="E156" s="31" t="e">
        <f>MC!#REF!</f>
        <v>#REF!</v>
      </c>
      <c r="F156" s="31">
        <f t="shared" si="5"/>
        <v>158.94</v>
      </c>
      <c r="G156" s="13" t="e">
        <f t="shared" si="7"/>
        <v>#REF!</v>
      </c>
      <c r="M156" s="14">
        <v>128.18</v>
      </c>
      <c r="N156" s="5"/>
    </row>
    <row r="157" spans="1:15" ht="37.5" x14ac:dyDescent="0.25">
      <c r="A157" s="36"/>
      <c r="B157" s="52" t="s">
        <v>546</v>
      </c>
      <c r="C157" s="34" t="s">
        <v>547</v>
      </c>
      <c r="D157" s="32" t="s">
        <v>203</v>
      </c>
      <c r="E157" s="31" t="e">
        <f>MC!#REF!</f>
        <v>#REF!</v>
      </c>
      <c r="F157" s="31">
        <f t="shared" si="5"/>
        <v>43.02</v>
      </c>
      <c r="G157" s="13" t="e">
        <f t="shared" si="7"/>
        <v>#REF!</v>
      </c>
      <c r="M157" s="14">
        <v>34.69</v>
      </c>
      <c r="N157" s="5"/>
    </row>
    <row r="158" spans="1:15" ht="40" x14ac:dyDescent="0.25">
      <c r="A158" s="36"/>
      <c r="B158" s="52" t="s">
        <v>548</v>
      </c>
      <c r="C158" s="34" t="s">
        <v>549</v>
      </c>
      <c r="D158" s="32" t="s">
        <v>203</v>
      </c>
      <c r="E158" s="31" t="e">
        <f>MC!#REF!</f>
        <v>#REF!</v>
      </c>
      <c r="F158" s="31">
        <f t="shared" si="5"/>
        <v>13.66</v>
      </c>
      <c r="G158" s="13" t="e">
        <f t="shared" si="7"/>
        <v>#REF!</v>
      </c>
      <c r="M158" s="14">
        <v>11.02</v>
      </c>
      <c r="N158" s="5"/>
    </row>
    <row r="159" spans="1:15" ht="87.5" x14ac:dyDescent="0.25">
      <c r="A159" s="36"/>
      <c r="B159" s="52" t="s">
        <v>550</v>
      </c>
      <c r="C159" s="34" t="s">
        <v>551</v>
      </c>
      <c r="D159" s="32" t="s">
        <v>480</v>
      </c>
      <c r="E159" s="31" t="e">
        <f>MC!#REF!</f>
        <v>#REF!</v>
      </c>
      <c r="F159" s="31">
        <f t="shared" si="5"/>
        <v>61.18</v>
      </c>
      <c r="G159" s="13" t="e">
        <f t="shared" si="7"/>
        <v>#REF!</v>
      </c>
      <c r="M159" s="14">
        <v>49.34</v>
      </c>
      <c r="N159" s="5"/>
    </row>
    <row r="160" spans="1:15" ht="50" x14ac:dyDescent="0.25">
      <c r="A160" s="36"/>
      <c r="B160" s="52" t="s">
        <v>552</v>
      </c>
      <c r="C160" s="34" t="s">
        <v>553</v>
      </c>
      <c r="D160" s="32" t="s">
        <v>203</v>
      </c>
      <c r="E160" s="31" t="e">
        <f>MC!#REF!</f>
        <v>#REF!</v>
      </c>
      <c r="F160" s="31">
        <f t="shared" si="5"/>
        <v>131.55000000000001</v>
      </c>
      <c r="G160" s="13" t="e">
        <f t="shared" si="7"/>
        <v>#REF!</v>
      </c>
      <c r="M160" s="47">
        <v>106.09</v>
      </c>
      <c r="N160" s="5"/>
    </row>
    <row r="161" spans="1:15" ht="50" x14ac:dyDescent="0.25">
      <c r="A161" s="36"/>
      <c r="B161" s="52" t="s">
        <v>554</v>
      </c>
      <c r="C161" s="34" t="s">
        <v>555</v>
      </c>
      <c r="D161" s="32" t="s">
        <v>203</v>
      </c>
      <c r="E161" s="31" t="e">
        <f>MC!#REF!</f>
        <v>#REF!</v>
      </c>
      <c r="F161" s="31">
        <f t="shared" si="5"/>
        <v>54.99</v>
      </c>
      <c r="G161" s="13" t="e">
        <f t="shared" si="7"/>
        <v>#REF!</v>
      </c>
      <c r="M161" s="47">
        <v>44.35</v>
      </c>
      <c r="N161" s="5"/>
    </row>
    <row r="162" spans="1:15" ht="40" x14ac:dyDescent="0.25">
      <c r="A162" s="36"/>
      <c r="B162" s="52" t="s">
        <v>556</v>
      </c>
      <c r="C162" s="34" t="s">
        <v>557</v>
      </c>
      <c r="D162" s="32" t="s">
        <v>203</v>
      </c>
      <c r="E162" s="31" t="e">
        <f>MC!#REF!</f>
        <v>#REF!</v>
      </c>
      <c r="F162" s="31">
        <f t="shared" si="5"/>
        <v>79.52</v>
      </c>
      <c r="G162" s="13" t="e">
        <f t="shared" si="7"/>
        <v>#REF!</v>
      </c>
      <c r="M162" s="47">
        <v>64.13</v>
      </c>
      <c r="N162" s="5"/>
    </row>
    <row r="163" spans="1:15" ht="40" x14ac:dyDescent="0.25">
      <c r="A163" s="36"/>
      <c r="B163" s="52" t="s">
        <v>558</v>
      </c>
      <c r="C163" s="35" t="s">
        <v>559</v>
      </c>
      <c r="D163" s="32" t="s">
        <v>203</v>
      </c>
      <c r="E163" s="31" t="e">
        <f>MC!#REF!</f>
        <v>#REF!</v>
      </c>
      <c r="F163" s="31">
        <f t="shared" si="5"/>
        <v>78.06</v>
      </c>
      <c r="G163" s="13" t="e">
        <f t="shared" si="7"/>
        <v>#REF!</v>
      </c>
      <c r="M163" s="47">
        <v>62.95</v>
      </c>
      <c r="N163" s="41" t="s">
        <v>560</v>
      </c>
      <c r="O163" s="49" t="s">
        <v>561</v>
      </c>
    </row>
    <row r="164" spans="1:15" ht="40" x14ac:dyDescent="0.25">
      <c r="A164" s="36"/>
      <c r="B164" s="52" t="s">
        <v>562</v>
      </c>
      <c r="C164" s="35" t="s">
        <v>563</v>
      </c>
      <c r="D164" s="32" t="s">
        <v>203</v>
      </c>
      <c r="E164" s="31" t="e">
        <f>MC!#REF!</f>
        <v>#REF!</v>
      </c>
      <c r="F164" s="31">
        <f t="shared" si="5"/>
        <v>40.99</v>
      </c>
      <c r="G164" s="13" t="e">
        <f t="shared" si="7"/>
        <v>#REF!</v>
      </c>
      <c r="M164" s="14">
        <v>33.06</v>
      </c>
      <c r="N164" s="5"/>
    </row>
    <row r="165" spans="1:15" ht="40" x14ac:dyDescent="0.25">
      <c r="A165" s="36"/>
      <c r="B165" s="52" t="s">
        <v>564</v>
      </c>
      <c r="C165" s="35" t="s">
        <v>565</v>
      </c>
      <c r="D165" s="32" t="s">
        <v>203</v>
      </c>
      <c r="E165" s="31" t="e">
        <f>MC!#REF!</f>
        <v>#REF!</v>
      </c>
      <c r="F165" s="31">
        <f t="shared" si="5"/>
        <v>461.26</v>
      </c>
      <c r="G165" s="13" t="e">
        <f t="shared" si="7"/>
        <v>#REF!</v>
      </c>
      <c r="M165" s="14">
        <v>371.98</v>
      </c>
      <c r="N165" s="5"/>
    </row>
    <row r="166" spans="1:15" ht="40" x14ac:dyDescent="0.25">
      <c r="A166" s="36"/>
      <c r="B166" s="52" t="s">
        <v>566</v>
      </c>
      <c r="C166" s="35" t="s">
        <v>567</v>
      </c>
      <c r="D166" s="32" t="s">
        <v>203</v>
      </c>
      <c r="E166" s="31" t="e">
        <f>MC!#REF!</f>
        <v>#REF!</v>
      </c>
      <c r="F166" s="31">
        <f t="shared" si="5"/>
        <v>697.36</v>
      </c>
      <c r="G166" s="13" t="e">
        <f t="shared" si="7"/>
        <v>#REF!</v>
      </c>
      <c r="M166" s="14">
        <v>562.39</v>
      </c>
      <c r="N166" s="5"/>
    </row>
    <row r="167" spans="1:15" ht="40" x14ac:dyDescent="0.25">
      <c r="A167" s="36"/>
      <c r="B167" s="52" t="s">
        <v>568</v>
      </c>
      <c r="C167" s="34" t="s">
        <v>569</v>
      </c>
      <c r="D167" s="32" t="s">
        <v>25</v>
      </c>
      <c r="E167" s="45" t="e">
        <f>MC!#REF!</f>
        <v>#REF!</v>
      </c>
      <c r="F167" s="31">
        <f t="shared" si="5"/>
        <v>411.72</v>
      </c>
      <c r="G167" s="45" t="e">
        <f t="shared" si="7"/>
        <v>#REF!</v>
      </c>
      <c r="H167" s="49"/>
      <c r="I167" s="49"/>
      <c r="J167" s="49"/>
      <c r="K167" s="49"/>
      <c r="L167" s="49"/>
      <c r="M167" s="57">
        <f>N167/0.6</f>
        <v>332.03333333333336</v>
      </c>
      <c r="N167" s="41">
        <v>199.22</v>
      </c>
      <c r="O167" s="49" t="s">
        <v>570</v>
      </c>
    </row>
    <row r="168" spans="1:15" ht="40" x14ac:dyDescent="0.25">
      <c r="A168" s="36"/>
      <c r="B168" s="52" t="s">
        <v>571</v>
      </c>
      <c r="C168" s="34" t="s">
        <v>572</v>
      </c>
      <c r="D168" s="32" t="s">
        <v>480</v>
      </c>
      <c r="E168" s="31" t="e">
        <f>MC!#REF!</f>
        <v>#REF!</v>
      </c>
      <c r="F168" s="31">
        <f t="shared" si="5"/>
        <v>79.010000000000005</v>
      </c>
      <c r="G168" s="13" t="e">
        <f t="shared" si="7"/>
        <v>#REF!</v>
      </c>
      <c r="M168" s="14">
        <v>63.72</v>
      </c>
      <c r="N168" s="5"/>
    </row>
    <row r="169" spans="1:15" ht="40" x14ac:dyDescent="0.25">
      <c r="A169" s="36"/>
      <c r="B169" s="52" t="s">
        <v>573</v>
      </c>
      <c r="C169" s="34" t="s">
        <v>574</v>
      </c>
      <c r="D169" s="32" t="s">
        <v>203</v>
      </c>
      <c r="E169" s="31" t="e">
        <f>MC!#REF!</f>
        <v>#REF!</v>
      </c>
      <c r="F169" s="31">
        <f t="shared" si="5"/>
        <v>83.45</v>
      </c>
      <c r="G169" s="13" t="e">
        <f t="shared" si="7"/>
        <v>#REF!</v>
      </c>
      <c r="M169" s="14">
        <v>67.3</v>
      </c>
      <c r="N169" s="5"/>
    </row>
    <row r="170" spans="1:15" ht="40" x14ac:dyDescent="0.25">
      <c r="A170" s="36"/>
      <c r="B170" s="52" t="s">
        <v>575</v>
      </c>
      <c r="C170" s="34" t="s">
        <v>576</v>
      </c>
      <c r="D170" s="32" t="s">
        <v>203</v>
      </c>
      <c r="E170" s="31" t="e">
        <f>MC!#REF!</f>
        <v>#REF!</v>
      </c>
      <c r="F170" s="31">
        <f t="shared" si="5"/>
        <v>59.27</v>
      </c>
      <c r="G170" s="13" t="e">
        <f t="shared" si="7"/>
        <v>#REF!</v>
      </c>
      <c r="M170" s="14">
        <v>47.8</v>
      </c>
      <c r="N170" s="5"/>
    </row>
    <row r="171" spans="1:15" ht="40" x14ac:dyDescent="0.25">
      <c r="A171" s="36"/>
      <c r="B171" s="52" t="s">
        <v>577</v>
      </c>
      <c r="C171" s="58" t="s">
        <v>578</v>
      </c>
      <c r="D171" s="32" t="s">
        <v>480</v>
      </c>
      <c r="E171" s="45" t="e">
        <f>MC!#REF!</f>
        <v>#REF!</v>
      </c>
      <c r="F171" s="45">
        <f t="shared" si="5"/>
        <v>595.82000000000005</v>
      </c>
      <c r="G171" s="45" t="e">
        <f t="shared" si="7"/>
        <v>#REF!</v>
      </c>
      <c r="H171" s="33"/>
      <c r="I171" s="33"/>
      <c r="J171" s="33"/>
      <c r="K171" s="33"/>
      <c r="L171" s="33"/>
      <c r="M171" s="43">
        <v>480.5</v>
      </c>
      <c r="N171" s="5"/>
    </row>
    <row r="172" spans="1:15" ht="40" x14ac:dyDescent="0.25">
      <c r="A172" s="36"/>
      <c r="B172" s="52" t="s">
        <v>579</v>
      </c>
      <c r="C172" s="15" t="s">
        <v>580</v>
      </c>
      <c r="D172" s="32" t="s">
        <v>203</v>
      </c>
      <c r="E172" s="31" t="e">
        <f>MC!#REF!</f>
        <v>#REF!</v>
      </c>
      <c r="F172" s="31">
        <f t="shared" si="5"/>
        <v>51.86</v>
      </c>
      <c r="G172" s="13" t="e">
        <f t="shared" si="7"/>
        <v>#REF!</v>
      </c>
      <c r="M172" s="14">
        <v>41.82</v>
      </c>
      <c r="N172" s="5"/>
    </row>
    <row r="173" spans="1:15" ht="40" x14ac:dyDescent="0.25">
      <c r="A173" s="36"/>
      <c r="B173" s="52" t="s">
        <v>581</v>
      </c>
      <c r="C173" s="34" t="s">
        <v>582</v>
      </c>
      <c r="D173" s="32" t="s">
        <v>203</v>
      </c>
      <c r="E173" s="31" t="e">
        <f>MC!#REF!</f>
        <v>#REF!</v>
      </c>
      <c r="F173" s="31">
        <f t="shared" si="5"/>
        <v>142.46</v>
      </c>
      <c r="G173" s="13" t="e">
        <f t="shared" si="7"/>
        <v>#REF!</v>
      </c>
      <c r="M173" s="47">
        <v>114.89</v>
      </c>
      <c r="N173" s="5"/>
    </row>
    <row r="174" spans="1:15" ht="30" x14ac:dyDescent="0.25">
      <c r="A174" s="36"/>
      <c r="B174" s="52" t="s">
        <v>583</v>
      </c>
      <c r="C174" s="34" t="s">
        <v>584</v>
      </c>
      <c r="D174" s="32" t="s">
        <v>50</v>
      </c>
      <c r="E174" s="45" t="e">
        <f>MC!#REF!</f>
        <v>#REF!</v>
      </c>
      <c r="F174" s="45">
        <f t="shared" si="5"/>
        <v>248.92</v>
      </c>
      <c r="G174" s="45" t="e">
        <f t="shared" si="7"/>
        <v>#REF!</v>
      </c>
      <c r="H174" s="33"/>
      <c r="I174" s="33"/>
      <c r="J174" s="33"/>
      <c r="K174" s="33"/>
      <c r="L174" s="33"/>
      <c r="M174" s="51">
        <v>200.74</v>
      </c>
      <c r="N174" s="5"/>
    </row>
    <row r="175" spans="1:15" ht="112.5" x14ac:dyDescent="0.25">
      <c r="A175" s="36"/>
      <c r="B175" s="52" t="s">
        <v>585</v>
      </c>
      <c r="C175" s="58" t="s">
        <v>586</v>
      </c>
      <c r="D175" s="32" t="s">
        <v>203</v>
      </c>
      <c r="E175" s="31" t="e">
        <f>MC!#REF!</f>
        <v>#REF!</v>
      </c>
      <c r="F175" s="31">
        <f t="shared" si="5"/>
        <v>5017.3900000000003</v>
      </c>
      <c r="G175" s="13" t="e">
        <f t="shared" si="7"/>
        <v>#REF!</v>
      </c>
      <c r="M175" s="47">
        <v>4046.2799999999997</v>
      </c>
      <c r="N175" s="5"/>
    </row>
    <row r="176" spans="1:15" ht="62.5" x14ac:dyDescent="0.25">
      <c r="A176" s="36"/>
      <c r="B176" s="52" t="s">
        <v>587</v>
      </c>
      <c r="C176" s="58" t="s">
        <v>588</v>
      </c>
      <c r="D176" s="56" t="s">
        <v>480</v>
      </c>
      <c r="E176" s="31" t="e">
        <f>MC!#REF!</f>
        <v>#REF!</v>
      </c>
      <c r="F176" s="31">
        <f t="shared" si="5"/>
        <v>433.44</v>
      </c>
      <c r="G176" s="13" t="e">
        <f t="shared" si="7"/>
        <v>#REF!</v>
      </c>
      <c r="M176" s="51">
        <v>349.55</v>
      </c>
      <c r="N176" s="5"/>
    </row>
    <row r="177" spans="1:15" ht="75" x14ac:dyDescent="0.25">
      <c r="A177" s="36"/>
      <c r="B177" s="52" t="s">
        <v>589</v>
      </c>
      <c r="C177" s="46" t="s">
        <v>590</v>
      </c>
      <c r="D177" s="32" t="s">
        <v>203</v>
      </c>
      <c r="E177" s="31" t="e">
        <f>MC!#REF!</f>
        <v>#REF!</v>
      </c>
      <c r="F177" s="31">
        <f t="shared" si="5"/>
        <v>1021.98</v>
      </c>
      <c r="G177" s="13" t="e">
        <f t="shared" si="7"/>
        <v>#REF!</v>
      </c>
      <c r="M177" s="51">
        <v>824.18</v>
      </c>
      <c r="N177" s="5"/>
    </row>
    <row r="178" spans="1:15" ht="62.5" x14ac:dyDescent="0.25">
      <c r="A178" s="36"/>
      <c r="B178" s="52" t="s">
        <v>591</v>
      </c>
      <c r="C178" s="46" t="s">
        <v>592</v>
      </c>
      <c r="D178" s="32" t="s">
        <v>203</v>
      </c>
      <c r="E178" s="31" t="e">
        <f>MC!#REF!</f>
        <v>#REF!</v>
      </c>
      <c r="F178" s="31">
        <f t="shared" si="5"/>
        <v>1553.03</v>
      </c>
      <c r="G178" s="13" t="e">
        <f t="shared" si="7"/>
        <v>#REF!</v>
      </c>
      <c r="M178" s="51">
        <v>1252.44</v>
      </c>
      <c r="N178" s="5"/>
    </row>
    <row r="179" spans="1:15" ht="40" x14ac:dyDescent="0.25">
      <c r="A179" s="36"/>
      <c r="B179" s="52" t="s">
        <v>593</v>
      </c>
      <c r="C179" s="46" t="s">
        <v>594</v>
      </c>
      <c r="D179" s="32" t="s">
        <v>203</v>
      </c>
      <c r="E179" s="31" t="e">
        <f>MC!#REF!</f>
        <v>#REF!</v>
      </c>
      <c r="F179" s="31">
        <f t="shared" si="5"/>
        <v>21.92</v>
      </c>
      <c r="G179" s="13" t="e">
        <f t="shared" si="7"/>
        <v>#REF!</v>
      </c>
      <c r="M179" s="51">
        <v>17.68</v>
      </c>
      <c r="N179" s="5"/>
    </row>
    <row r="180" spans="1:15" x14ac:dyDescent="0.25">
      <c r="A180" s="36"/>
      <c r="B180" s="52"/>
      <c r="C180" s="46"/>
      <c r="D180" s="12"/>
      <c r="E180" s="31" t="e">
        <f>MC!#REF!</f>
        <v>#REF!</v>
      </c>
      <c r="F180" s="31">
        <f t="shared" si="5"/>
        <v>0</v>
      </c>
      <c r="G180" s="13" t="e">
        <f t="shared" si="7"/>
        <v>#REF!</v>
      </c>
      <c r="M180" s="51"/>
      <c r="N180" s="5"/>
    </row>
    <row r="181" spans="1:15" x14ac:dyDescent="0.25">
      <c r="A181" s="36"/>
      <c r="B181" s="52"/>
      <c r="C181" s="46"/>
      <c r="D181" s="12"/>
      <c r="E181" s="31" t="e">
        <f>MC!#REF!</f>
        <v>#REF!</v>
      </c>
      <c r="F181" s="31">
        <f t="shared" si="5"/>
        <v>0</v>
      </c>
      <c r="G181" s="13" t="e">
        <f t="shared" si="7"/>
        <v>#REF!</v>
      </c>
      <c r="M181" s="51"/>
      <c r="N181" s="5"/>
    </row>
    <row r="182" spans="1:15" ht="13" x14ac:dyDescent="0.3">
      <c r="A182" s="10" t="s">
        <v>595</v>
      </c>
      <c r="B182" s="54"/>
      <c r="C182" s="11" t="s">
        <v>596</v>
      </c>
      <c r="D182" s="12"/>
      <c r="E182" s="13"/>
      <c r="F182" s="31">
        <f t="shared" si="5"/>
        <v>0</v>
      </c>
      <c r="G182" s="27" t="e">
        <f>SUM(G183:G190)</f>
        <v>#REF!</v>
      </c>
      <c r="M182" s="21"/>
      <c r="N182" s="5"/>
    </row>
    <row r="183" spans="1:15" ht="30" x14ac:dyDescent="0.25">
      <c r="A183" s="17"/>
      <c r="B183" s="52" t="s">
        <v>597</v>
      </c>
      <c r="C183" s="34" t="s">
        <v>598</v>
      </c>
      <c r="D183" s="12" t="s">
        <v>25</v>
      </c>
      <c r="E183" s="31" t="e">
        <f>MC!#REF!</f>
        <v>#REF!</v>
      </c>
      <c r="F183" s="31">
        <f t="shared" si="5"/>
        <v>1.39</v>
      </c>
      <c r="G183" s="13" t="e">
        <f t="shared" si="7"/>
        <v>#REF!</v>
      </c>
      <c r="M183" s="14">
        <v>1.1200000000000001</v>
      </c>
      <c r="N183" s="5"/>
    </row>
    <row r="184" spans="1:15" ht="40" x14ac:dyDescent="0.25">
      <c r="A184" s="17"/>
      <c r="B184" s="52" t="s">
        <v>599</v>
      </c>
      <c r="C184" s="35" t="s">
        <v>600</v>
      </c>
      <c r="D184" s="12" t="s">
        <v>25</v>
      </c>
      <c r="E184" s="31" t="e">
        <f>MC!#REF!</f>
        <v>#REF!</v>
      </c>
      <c r="F184" s="31">
        <f t="shared" si="5"/>
        <v>8.2799999999999994</v>
      </c>
      <c r="G184" s="13" t="e">
        <f t="shared" si="7"/>
        <v>#REF!</v>
      </c>
      <c r="M184" s="14">
        <v>6.68</v>
      </c>
      <c r="N184" s="5"/>
    </row>
    <row r="185" spans="1:15" ht="40" x14ac:dyDescent="0.25">
      <c r="A185" s="17"/>
      <c r="B185" s="52" t="s">
        <v>601</v>
      </c>
      <c r="C185" s="35" t="s">
        <v>602</v>
      </c>
      <c r="D185" s="32" t="s">
        <v>25</v>
      </c>
      <c r="E185" s="31" t="e">
        <f>MC!#REF!</f>
        <v>#REF!</v>
      </c>
      <c r="F185" s="31">
        <f t="shared" si="5"/>
        <v>246.77</v>
      </c>
      <c r="G185" s="13" t="e">
        <f t="shared" si="7"/>
        <v>#REF!</v>
      </c>
      <c r="M185" s="43">
        <v>199.01</v>
      </c>
      <c r="N185" s="48"/>
    </row>
    <row r="186" spans="1:15" ht="50" x14ac:dyDescent="0.25">
      <c r="A186" s="17"/>
      <c r="B186" s="52" t="s">
        <v>603</v>
      </c>
      <c r="C186" s="35" t="s">
        <v>604</v>
      </c>
      <c r="D186" s="32" t="s">
        <v>25</v>
      </c>
      <c r="E186" s="31" t="e">
        <f>MC!#REF!</f>
        <v>#REF!</v>
      </c>
      <c r="F186" s="31">
        <f t="shared" si="5"/>
        <v>40.130000000000003</v>
      </c>
      <c r="G186" s="13" t="e">
        <f t="shared" si="7"/>
        <v>#REF!</v>
      </c>
      <c r="M186" s="14">
        <v>32.36</v>
      </c>
      <c r="N186" s="5"/>
    </row>
    <row r="187" spans="1:15" ht="40" x14ac:dyDescent="0.25">
      <c r="A187" s="17"/>
      <c r="B187" s="52" t="s">
        <v>568</v>
      </c>
      <c r="C187" s="34" t="s">
        <v>569</v>
      </c>
      <c r="D187" s="32" t="s">
        <v>25</v>
      </c>
      <c r="E187" s="31" t="e">
        <f>MC!#REF!</f>
        <v>#REF!</v>
      </c>
      <c r="F187" s="31">
        <f t="shared" si="5"/>
        <v>411.72</v>
      </c>
      <c r="G187" s="13" t="e">
        <f t="shared" si="7"/>
        <v>#REF!</v>
      </c>
      <c r="M187" s="43">
        <f>N187/0.6</f>
        <v>332.03333333333336</v>
      </c>
      <c r="N187" s="3">
        <v>199.22</v>
      </c>
      <c r="O187" s="33" t="s">
        <v>570</v>
      </c>
    </row>
    <row r="188" spans="1:15" ht="87.5" x14ac:dyDescent="0.25">
      <c r="A188" s="17"/>
      <c r="B188" s="52" t="s">
        <v>605</v>
      </c>
      <c r="C188" s="58" t="s">
        <v>606</v>
      </c>
      <c r="D188" s="32" t="s">
        <v>50</v>
      </c>
      <c r="E188" s="31" t="e">
        <f>MC!#REF!</f>
        <v>#REF!</v>
      </c>
      <c r="F188" s="31">
        <f t="shared" si="5"/>
        <v>238.53</v>
      </c>
      <c r="G188" s="13" t="e">
        <f t="shared" si="7"/>
        <v>#REF!</v>
      </c>
      <c r="M188" s="43">
        <v>192.36</v>
      </c>
      <c r="N188" s="5"/>
    </row>
    <row r="189" spans="1:15" ht="37.5" x14ac:dyDescent="0.25">
      <c r="A189" s="17"/>
      <c r="B189" s="52" t="s">
        <v>607</v>
      </c>
      <c r="C189" s="35" t="s">
        <v>608</v>
      </c>
      <c r="D189" s="32" t="s">
        <v>50</v>
      </c>
      <c r="E189" s="31" t="e">
        <f>MC!#REF!</f>
        <v>#REF!</v>
      </c>
      <c r="F189" s="31">
        <f t="shared" si="5"/>
        <v>54.46</v>
      </c>
      <c r="G189" s="13" t="e">
        <f t="shared" si="7"/>
        <v>#REF!</v>
      </c>
      <c r="M189" s="14">
        <v>43.92</v>
      </c>
      <c r="N189" s="5"/>
    </row>
    <row r="190" spans="1:15" x14ac:dyDescent="0.25">
      <c r="A190" s="17"/>
      <c r="B190" s="52"/>
      <c r="C190" s="35"/>
      <c r="D190" s="32"/>
      <c r="E190" s="31" t="e">
        <f>MC!#REF!</f>
        <v>#REF!</v>
      </c>
      <c r="F190" s="31">
        <f t="shared" si="5"/>
        <v>0</v>
      </c>
      <c r="G190" s="13" t="e">
        <f t="shared" si="7"/>
        <v>#REF!</v>
      </c>
      <c r="M190" s="14"/>
      <c r="N190" s="5"/>
    </row>
    <row r="191" spans="1:15" ht="13" x14ac:dyDescent="0.3">
      <c r="A191" s="22"/>
      <c r="B191" s="22"/>
      <c r="C191" s="23"/>
      <c r="D191" s="24"/>
      <c r="E191" s="25"/>
      <c r="F191" s="26" t="s">
        <v>609</v>
      </c>
      <c r="G191" s="27" t="e">
        <f>SUM(G8:G190)/2</f>
        <v>#REF!</v>
      </c>
    </row>
    <row r="193" spans="3:3" x14ac:dyDescent="0.25">
      <c r="C193" s="30"/>
    </row>
    <row r="194" spans="3:3" x14ac:dyDescent="0.25">
      <c r="C194" s="30"/>
    </row>
    <row r="195" spans="3:3" x14ac:dyDescent="0.25">
      <c r="C195" s="30"/>
    </row>
    <row r="196" spans="3:3" x14ac:dyDescent="0.25">
      <c r="C196" s="30"/>
    </row>
  </sheetData>
  <mergeCells count="5">
    <mergeCell ref="A1:G1"/>
    <mergeCell ref="A2:G2"/>
    <mergeCell ref="C4:G4"/>
    <mergeCell ref="C5:E5"/>
    <mergeCell ref="G5:I5"/>
  </mergeCells>
  <pageMargins left="1.1811023622047245" right="0.19685039370078741" top="1.1811023622047245" bottom="0.78740157480314965" header="0.51181102362204722" footer="0.51181102362204722"/>
  <pageSetup paperSize="9" scale="90" orientation="portrait" horizontalDpi="300" verticalDpi="300" r:id="rId1"/>
  <headerFooter alignWithMargins="0">
    <oddFooter>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3"/>
  <dimension ref="A1:H471"/>
  <sheetViews>
    <sheetView showGridLines="0" topLeftCell="A458" zoomScale="115" zoomScaleNormal="115" zoomScaleSheetLayoutView="115" workbookViewId="0">
      <selection activeCell="A461" sqref="A461:H471"/>
    </sheetView>
  </sheetViews>
  <sheetFormatPr defaultRowHeight="13" x14ac:dyDescent="0.3"/>
  <cols>
    <col min="1" max="1" width="5.7265625" style="130" customWidth="1"/>
    <col min="2" max="2" width="40.7265625" style="130" customWidth="1"/>
    <col min="3" max="7" width="10.7265625" style="130" customWidth="1"/>
    <col min="8" max="8" width="4" style="130" customWidth="1"/>
  </cols>
  <sheetData>
    <row r="1" spans="1:8" ht="15.75" customHeight="1" x14ac:dyDescent="0.35">
      <c r="A1" s="309" t="str">
        <f>BASE!A1</f>
        <v>PREFEITURA MUNICIPAL DE BOM CONSELHO</v>
      </c>
      <c r="B1" s="310"/>
      <c r="C1" s="310"/>
      <c r="D1" s="310"/>
      <c r="E1" s="310"/>
      <c r="F1" s="310"/>
      <c r="G1" s="310"/>
      <c r="H1" s="311"/>
    </row>
    <row r="2" spans="1:8" ht="12.75" customHeight="1" x14ac:dyDescent="0.3">
      <c r="A2" s="298"/>
      <c r="B2" s="299"/>
      <c r="C2" s="299"/>
      <c r="D2" s="299"/>
      <c r="E2" s="299"/>
      <c r="F2" s="299"/>
      <c r="G2" s="299"/>
      <c r="H2" s="300"/>
    </row>
    <row r="3" spans="1:8" ht="15.75" customHeight="1" x14ac:dyDescent="0.35">
      <c r="A3" s="312" t="s">
        <v>610</v>
      </c>
      <c r="B3" s="282"/>
      <c r="C3" s="282"/>
      <c r="D3" s="282"/>
      <c r="E3" s="282"/>
      <c r="F3" s="282"/>
      <c r="G3" s="282"/>
      <c r="H3" s="283"/>
    </row>
    <row r="4" spans="1:8" ht="12.75" customHeight="1" x14ac:dyDescent="0.25">
      <c r="A4" s="313"/>
      <c r="B4" s="314"/>
      <c r="C4" s="314"/>
      <c r="D4" s="314"/>
      <c r="E4" s="314"/>
      <c r="F4" s="314"/>
      <c r="G4" s="314"/>
      <c r="H4" s="315"/>
    </row>
    <row r="5" spans="1:8" ht="12.75" customHeight="1" x14ac:dyDescent="0.25">
      <c r="A5" s="316"/>
      <c r="B5" s="317"/>
      <c r="C5" s="317"/>
      <c r="D5" s="317"/>
      <c r="E5" s="317"/>
      <c r="F5" s="317"/>
      <c r="G5" s="317"/>
      <c r="H5" s="318"/>
    </row>
    <row r="6" spans="1:8" x14ac:dyDescent="0.3">
      <c r="A6" s="114" t="s">
        <v>2</v>
      </c>
      <c r="B6" s="297" t="str">
        <f>BASE!B6</f>
        <v>REFORMA E REVITALIZAÇÃO DO CENTRO DE LAZER MUNICIPAL (BEIRA RIO)</v>
      </c>
      <c r="C6" s="297"/>
      <c r="D6" s="297"/>
      <c r="E6" s="297"/>
      <c r="F6" s="297"/>
      <c r="G6" s="297"/>
      <c r="H6" s="305"/>
    </row>
    <row r="7" spans="1:8" x14ac:dyDescent="0.3">
      <c r="A7" s="114" t="s">
        <v>5</v>
      </c>
      <c r="B7" s="297" t="str">
        <f>BASE!B7</f>
        <v>BOM CONSELHO/PE</v>
      </c>
      <c r="C7" s="297"/>
      <c r="D7" s="297"/>
      <c r="E7" s="297"/>
      <c r="F7" s="127"/>
      <c r="G7" s="304"/>
      <c r="H7" s="305"/>
    </row>
    <row r="8" spans="1:8" ht="12.75" customHeight="1" x14ac:dyDescent="0.3">
      <c r="A8" s="298"/>
      <c r="B8" s="299"/>
      <c r="C8" s="299"/>
      <c r="D8" s="299"/>
      <c r="E8" s="299"/>
      <c r="F8" s="299"/>
      <c r="G8" s="299"/>
      <c r="H8" s="300"/>
    </row>
    <row r="9" spans="1:8" x14ac:dyDescent="0.3">
      <c r="A9" s="128" t="s">
        <v>19</v>
      </c>
      <c r="B9" s="129" t="s">
        <v>611</v>
      </c>
      <c r="H9" s="131"/>
    </row>
    <row r="10" spans="1:8" x14ac:dyDescent="0.3">
      <c r="A10" s="132" t="str">
        <f>BASE!A12</f>
        <v>1.1</v>
      </c>
      <c r="B10" s="301" t="str">
        <f>BASE!D12</f>
        <v>PLACA DE OBRA (PARA CONSTRUCAO CIVIL) EM CHAPA GALVANIZADA *N. 22*, ADESIVADA, DE *2,0 X 1,125* M</v>
      </c>
      <c r="C10" s="302"/>
      <c r="D10" s="303"/>
      <c r="H10" s="131"/>
    </row>
    <row r="11" spans="1:8" x14ac:dyDescent="0.3">
      <c r="A11" s="132"/>
      <c r="B11" s="133" t="s">
        <v>612</v>
      </c>
      <c r="C11" s="133" t="s">
        <v>265</v>
      </c>
      <c r="D11" s="133" t="s">
        <v>613</v>
      </c>
      <c r="E11" s="133" t="s">
        <v>614</v>
      </c>
      <c r="F11" s="133" t="s">
        <v>615</v>
      </c>
      <c r="G11" s="133" t="s">
        <v>616</v>
      </c>
      <c r="H11" s="131"/>
    </row>
    <row r="12" spans="1:8" x14ac:dyDescent="0.3">
      <c r="A12" s="132"/>
      <c r="B12" s="134"/>
      <c r="C12" s="135"/>
      <c r="D12" s="135"/>
      <c r="E12" s="135">
        <v>3</v>
      </c>
      <c r="F12" s="135">
        <v>2</v>
      </c>
      <c r="G12" s="136">
        <f>ROUND(IF(PRODUCT(IF(C12=0,1,C12),IF(D12=0,1,D12),IF(E12=0,1,E12),IF(F12=0,1,F12))=1,0,PRODUCT(IF(C12=0,1,C12),IF(D12=0,1,D12),IF(E12=0,1,E12),IF(F12=0,1,F12))),2)</f>
        <v>6</v>
      </c>
      <c r="H12" s="131"/>
    </row>
    <row r="13" spans="1:8" x14ac:dyDescent="0.3">
      <c r="A13" s="132"/>
      <c r="B13" s="134"/>
      <c r="C13" s="137"/>
      <c r="D13" s="137"/>
      <c r="E13" s="137"/>
      <c r="F13" s="137"/>
      <c r="G13" s="138">
        <f t="shared" ref="G13" si="0">ROUND(IF(PRODUCT(IF(C13=0,1,C13),IF(D13=0,1,D13),IF(E13=0,1,E13),IF(F13=0,1,F13))=1,0,PRODUCT(IF(C13=0,1,C13),IF(D13=0,1,D13),IF(E13=0,1,E13),IF(F13=0,1,F13))),2)</f>
        <v>0</v>
      </c>
      <c r="H13" s="131"/>
    </row>
    <row r="14" spans="1:8" x14ac:dyDescent="0.3">
      <c r="A14" s="132"/>
      <c r="C14" s="139"/>
      <c r="D14" s="212"/>
      <c r="E14" s="140" t="s">
        <v>616</v>
      </c>
      <c r="F14" s="141" t="s">
        <v>617</v>
      </c>
      <c r="G14" s="142">
        <f>SUM(G12:G13)</f>
        <v>6</v>
      </c>
      <c r="H14" s="143" t="s">
        <v>25</v>
      </c>
    </row>
    <row r="15" spans="1:8" x14ac:dyDescent="0.3">
      <c r="A15" s="132" t="str">
        <f>BASE!A13</f>
        <v>1.2</v>
      </c>
      <c r="B15" s="294" t="str">
        <f>BASE!D13</f>
        <v>BARRACÃO PARA OBRAS DE MÉDIO PORTE REAPROVEITAMENTO 2 VEZES</v>
      </c>
      <c r="C15" s="295"/>
      <c r="D15" s="296"/>
      <c r="H15" s="131"/>
    </row>
    <row r="16" spans="1:8" x14ac:dyDescent="0.3">
      <c r="A16" s="132"/>
      <c r="B16" s="133" t="s">
        <v>612</v>
      </c>
      <c r="C16" s="133" t="s">
        <v>265</v>
      </c>
      <c r="D16" s="133" t="s">
        <v>613</v>
      </c>
      <c r="E16" s="133" t="s">
        <v>614</v>
      </c>
      <c r="F16" s="133" t="s">
        <v>615</v>
      </c>
      <c r="G16" s="133" t="s">
        <v>616</v>
      </c>
      <c r="H16" s="131"/>
    </row>
    <row r="17" spans="1:8" x14ac:dyDescent="0.3">
      <c r="A17" s="132"/>
      <c r="B17" s="134"/>
      <c r="C17" s="135"/>
      <c r="D17" s="135">
        <v>5</v>
      </c>
      <c r="E17" s="135">
        <v>4</v>
      </c>
      <c r="F17" s="135"/>
      <c r="G17" s="136">
        <f>ROUND(IF(PRODUCT(IF(C17=0,1,C17),IF(D17=0,1,D17),IF(E17=0,1,E17),IF(F17=0,1,F17))=1,0,PRODUCT(IF(C17=0,1,C17),IF(D17=0,1,D17),IF(E17=0,1,E17),IF(F17=0,1,F17))),2)</f>
        <v>20</v>
      </c>
      <c r="H17" s="131"/>
    </row>
    <row r="18" spans="1:8" x14ac:dyDescent="0.3">
      <c r="A18" s="132"/>
      <c r="B18" s="134"/>
      <c r="C18" s="137"/>
      <c r="D18" s="137"/>
      <c r="E18" s="137"/>
      <c r="F18" s="137"/>
      <c r="G18" s="138">
        <f t="shared" ref="G18" si="1">ROUND(IF(PRODUCT(IF(C18=0,1,C18),IF(D18=0,1,D18),IF(E18=0,1,E18),IF(F18=0,1,F18))=1,0,PRODUCT(IF(C18=0,1,C18),IF(D18=0,1,D18),IF(E18=0,1,E18),IF(F18=0,1,F18))),2)</f>
        <v>0</v>
      </c>
      <c r="H18" s="131"/>
    </row>
    <row r="19" spans="1:8" x14ac:dyDescent="0.3">
      <c r="A19" s="132"/>
      <c r="C19" s="139"/>
      <c r="D19" s="212"/>
      <c r="E19" s="140" t="s">
        <v>616</v>
      </c>
      <c r="F19" s="141" t="s">
        <v>617</v>
      </c>
      <c r="G19" s="142">
        <f>SUM(G17:G18)</f>
        <v>20</v>
      </c>
      <c r="H19" s="143" t="s">
        <v>25</v>
      </c>
    </row>
    <row r="20" spans="1:8" x14ac:dyDescent="0.3">
      <c r="A20" s="132" t="str">
        <f>BASE!A14</f>
        <v>1.3</v>
      </c>
      <c r="B20" s="306" t="str">
        <f>BASE!D14</f>
        <v>TAPUME COM TELHA METÁLICA. AF_05/2018</v>
      </c>
      <c r="C20" s="307"/>
      <c r="D20" s="308"/>
      <c r="H20" s="131"/>
    </row>
    <row r="21" spans="1:8" x14ac:dyDescent="0.3">
      <c r="A21" s="132"/>
      <c r="B21" s="133" t="s">
        <v>612</v>
      </c>
      <c r="C21" s="133" t="s">
        <v>265</v>
      </c>
      <c r="D21" s="133" t="s">
        <v>613</v>
      </c>
      <c r="E21" s="133" t="s">
        <v>614</v>
      </c>
      <c r="F21" s="133" t="s">
        <v>615</v>
      </c>
      <c r="G21" s="133" t="s">
        <v>616</v>
      </c>
      <c r="H21" s="131"/>
    </row>
    <row r="22" spans="1:8" x14ac:dyDescent="0.3">
      <c r="A22" s="132"/>
      <c r="B22" s="134"/>
      <c r="C22" s="135"/>
      <c r="D22" s="135">
        <f>53.8+14.5+7.5</f>
        <v>75.8</v>
      </c>
      <c r="E22" s="135"/>
      <c r="F22" s="135">
        <v>2</v>
      </c>
      <c r="G22" s="136">
        <f>ROUND(IF(PRODUCT(IF(C22=0,1,C22),IF(D22=0,1,D22),IF(E22=0,1,E22),IF(F22=0,1,F22))=1,0,PRODUCT(IF(C22=0,1,C22),IF(D22=0,1,D22),IF(E22=0,1,E22),IF(F22=0,1,F22))),2)</f>
        <v>151.6</v>
      </c>
      <c r="H22" s="131"/>
    </row>
    <row r="23" spans="1:8" x14ac:dyDescent="0.3">
      <c r="A23" s="132"/>
      <c r="B23" s="134"/>
      <c r="C23" s="137"/>
      <c r="D23" s="137"/>
      <c r="E23" s="137"/>
      <c r="F23" s="137"/>
      <c r="G23" s="136">
        <f t="shared" ref="G23" si="2">ROUND(IF(PRODUCT(IF(C23=0,1,C23),IF(D23=0,1,D23),IF(E23=0,1,E23),IF(F23=0,1,F23))=1,0,PRODUCT(IF(C23=0,1,C23),IF(D23=0,1,D23),IF(E23=0,1,E23),IF(F23=0,1,F23))),2)</f>
        <v>0</v>
      </c>
      <c r="H23" s="131"/>
    </row>
    <row r="24" spans="1:8" x14ac:dyDescent="0.3">
      <c r="A24" s="132"/>
      <c r="C24" s="139"/>
      <c r="D24" s="212"/>
      <c r="E24" s="140" t="s">
        <v>616</v>
      </c>
      <c r="F24" s="141" t="s">
        <v>617</v>
      </c>
      <c r="G24" s="142">
        <f>SUM(G22:G23)</f>
        <v>151.6</v>
      </c>
      <c r="H24" s="143" t="s">
        <v>25</v>
      </c>
    </row>
    <row r="25" spans="1:8" x14ac:dyDescent="0.3">
      <c r="A25" s="132" t="str">
        <f>BASE!A15</f>
        <v>1.4</v>
      </c>
      <c r="B25" s="306" t="str">
        <f>BASE!D15</f>
        <v>LIMPEZA MANUAL DE VEGETAÇÃO EM TERRENO COM ENXADA.AF_05/2018</v>
      </c>
      <c r="C25" s="307"/>
      <c r="D25" s="308"/>
      <c r="H25" s="131"/>
    </row>
    <row r="26" spans="1:8" x14ac:dyDescent="0.3">
      <c r="A26" s="132"/>
      <c r="B26" s="133" t="s">
        <v>612</v>
      </c>
      <c r="C26" s="133" t="s">
        <v>618</v>
      </c>
      <c r="D26" s="133" t="s">
        <v>613</v>
      </c>
      <c r="E26" s="133" t="s">
        <v>614</v>
      </c>
      <c r="F26" s="133" t="s">
        <v>615</v>
      </c>
      <c r="G26" s="133" t="s">
        <v>616</v>
      </c>
      <c r="H26" s="131"/>
    </row>
    <row r="27" spans="1:8" x14ac:dyDescent="0.3">
      <c r="A27" s="132"/>
      <c r="B27" s="134" t="s">
        <v>619</v>
      </c>
      <c r="C27" s="135">
        <f>7591.73+87.44+1071.32+1918.1+998.25+130.88+1261.85</f>
        <v>13059.57</v>
      </c>
      <c r="D27" s="135"/>
      <c r="E27" s="135"/>
      <c r="F27" s="135"/>
      <c r="G27" s="136">
        <f>ROUND(IF(PRODUCT(IF(C27=0,1,C27),IF(D27=0,1,D27),IF(E27=0,1,E27),IF(F27=0,1,F27))=1,0,PRODUCT(IF(C27=0,1,C27),IF(D27=0,1,D27),IF(E27=0,1,E27),IF(F27=0,1,F27))),2)</f>
        <v>13059.57</v>
      </c>
      <c r="H27" s="131"/>
    </row>
    <row r="28" spans="1:8" x14ac:dyDescent="0.3">
      <c r="A28" s="132"/>
      <c r="B28" s="134"/>
      <c r="C28" s="137"/>
      <c r="D28" s="137"/>
      <c r="E28" s="137"/>
      <c r="F28" s="137"/>
      <c r="G28" s="138">
        <f t="shared" ref="G28" si="3">ROUND(IF(PRODUCT(IF(C28=0,1,C28),IF(D28=0,1,D28),IF(E28=0,1,E28),IF(F28=0,1,F28))=1,0,PRODUCT(IF(C28=0,1,C28),IF(D28=0,1,D28),IF(E28=0,1,E28),IF(F28=0,1,F28))),2)</f>
        <v>0</v>
      </c>
      <c r="H28" s="131"/>
    </row>
    <row r="29" spans="1:8" x14ac:dyDescent="0.3">
      <c r="A29" s="132"/>
      <c r="C29" s="139"/>
      <c r="D29" s="212"/>
      <c r="E29" s="140" t="s">
        <v>616</v>
      </c>
      <c r="F29" s="141" t="s">
        <v>617</v>
      </c>
      <c r="G29" s="142">
        <f>SUM(G27:G28)</f>
        <v>13059.57</v>
      </c>
      <c r="H29" s="143" t="s">
        <v>25</v>
      </c>
    </row>
    <row r="30" spans="1:8" x14ac:dyDescent="0.3">
      <c r="A30" s="132" t="str">
        <f>BASE!A16</f>
        <v>1.5</v>
      </c>
      <c r="B30" s="294" t="str">
        <f>BASE!D16</f>
        <v>COLETA E CARGA MANUAIS DE ENTULHO</v>
      </c>
      <c r="C30" s="295"/>
      <c r="D30" s="296"/>
      <c r="H30" s="131"/>
    </row>
    <row r="31" spans="1:8" x14ac:dyDescent="0.3">
      <c r="A31" s="132"/>
      <c r="B31" s="133" t="s">
        <v>612</v>
      </c>
      <c r="C31" s="133" t="s">
        <v>265</v>
      </c>
      <c r="D31" s="133" t="s">
        <v>613</v>
      </c>
      <c r="E31" s="133" t="s">
        <v>614</v>
      </c>
      <c r="F31" s="133" t="s">
        <v>615</v>
      </c>
      <c r="G31" s="133" t="s">
        <v>616</v>
      </c>
      <c r="H31" s="131"/>
    </row>
    <row r="32" spans="1:8" x14ac:dyDescent="0.3">
      <c r="A32" s="132"/>
      <c r="B32" s="134" t="str">
        <f>B40</f>
        <v>DEMOLIÇÃO DE PISO DE ALTA RESISTÊNCIA</v>
      </c>
      <c r="C32" s="135">
        <f>G46</f>
        <v>787.72</v>
      </c>
      <c r="D32" s="135"/>
      <c r="E32" s="135"/>
      <c r="F32" s="135">
        <v>0.05</v>
      </c>
      <c r="G32" s="136">
        <f>ROUND(IF(PRODUCT(IF(C32=0,1,C32),IF(D32=0,1,D32),IF(E32=0,1,E32),IF(F32=0,1,F32))=1,0,PRODUCT(IF(C32=0,1,C32),IF(D32=0,1,D32),IF(E32=0,1,E32),IF(F32=0,1,F32))),2)</f>
        <v>39.39</v>
      </c>
      <c r="H32" s="131"/>
    </row>
    <row r="33" spans="1:8" x14ac:dyDescent="0.3">
      <c r="A33" s="132"/>
      <c r="B33" s="134"/>
      <c r="C33" s="135">
        <f>G57</f>
        <v>17.059999999999999</v>
      </c>
      <c r="D33" s="135"/>
      <c r="E33" s="135"/>
      <c r="F33" s="135"/>
      <c r="G33" s="136">
        <f t="shared" ref="G33:G35" si="4">ROUND(IF(PRODUCT(IF(C33=0,1,C33),IF(D33=0,1,D33),IF(E33=0,1,E33),IF(F33=0,1,F33))=1,0,PRODUCT(IF(C33=0,1,C33),IF(D33=0,1,D33),IF(E33=0,1,E33),IF(F33=0,1,F33))),2)</f>
        <v>17.059999999999999</v>
      </c>
      <c r="H33" s="131"/>
    </row>
    <row r="34" spans="1:8" x14ac:dyDescent="0.3">
      <c r="A34" s="132"/>
      <c r="B34" s="134"/>
      <c r="C34" s="135">
        <f>G63</f>
        <v>5.0200000000000005</v>
      </c>
      <c r="D34" s="135"/>
      <c r="E34" s="135"/>
      <c r="F34" s="135"/>
      <c r="G34" s="136">
        <f t="shared" si="4"/>
        <v>5.0199999999999996</v>
      </c>
      <c r="H34" s="131"/>
    </row>
    <row r="35" spans="1:8" x14ac:dyDescent="0.3">
      <c r="A35" s="132"/>
      <c r="B35" s="134"/>
      <c r="C35" s="137"/>
      <c r="D35" s="137"/>
      <c r="E35" s="137"/>
      <c r="F35" s="137"/>
      <c r="G35" s="136">
        <f t="shared" si="4"/>
        <v>0</v>
      </c>
      <c r="H35" s="131"/>
    </row>
    <row r="36" spans="1:8" x14ac:dyDescent="0.3">
      <c r="A36" s="132"/>
      <c r="C36" s="139"/>
      <c r="D36" s="212"/>
      <c r="E36" s="140" t="s">
        <v>616</v>
      </c>
      <c r="F36" s="141" t="s">
        <v>617</v>
      </c>
      <c r="G36" s="142">
        <f>SUM(G32:G35)</f>
        <v>61.47</v>
      </c>
      <c r="H36" s="143" t="s">
        <v>39</v>
      </c>
    </row>
    <row r="37" spans="1:8" x14ac:dyDescent="0.3">
      <c r="A37" s="132"/>
      <c r="H37" s="131"/>
    </row>
    <row r="38" spans="1:8" x14ac:dyDescent="0.3">
      <c r="A38" s="249" t="str">
        <f>BASE!A17</f>
        <v>2.0</v>
      </c>
      <c r="B38" s="250" t="str">
        <f>BASE!D17</f>
        <v xml:space="preserve">DEMOLIÇÕES </v>
      </c>
      <c r="H38" s="131"/>
    </row>
    <row r="39" spans="1:8" x14ac:dyDescent="0.3">
      <c r="A39" s="251" t="str">
        <f>BASE!A18</f>
        <v>2.1</v>
      </c>
      <c r="B39" s="252" t="str">
        <f>BASE!D18</f>
        <v>PISOS</v>
      </c>
      <c r="H39" s="131"/>
    </row>
    <row r="40" spans="1:8" x14ac:dyDescent="0.3">
      <c r="A40" s="132" t="str">
        <f>BASE!A19</f>
        <v>2.1.1</v>
      </c>
      <c r="B40" s="306" t="str">
        <f>BASE!D19</f>
        <v>DEMOLIÇÃO DE PISO DE ALTA RESISTÊNCIA</v>
      </c>
      <c r="C40" s="307"/>
      <c r="D40" s="308"/>
      <c r="H40" s="131"/>
    </row>
    <row r="41" spans="1:8" x14ac:dyDescent="0.3">
      <c r="A41" s="132"/>
      <c r="B41" s="133" t="s">
        <v>612</v>
      </c>
      <c r="C41" s="133" t="s">
        <v>618</v>
      </c>
      <c r="D41" s="133" t="s">
        <v>613</v>
      </c>
      <c r="E41" s="133" t="s">
        <v>614</v>
      </c>
      <c r="F41" s="133" t="s">
        <v>615</v>
      </c>
      <c r="G41" s="133" t="s">
        <v>616</v>
      </c>
      <c r="H41" s="131"/>
    </row>
    <row r="42" spans="1:8" x14ac:dyDescent="0.3">
      <c r="A42" s="132"/>
      <c r="B42" s="134" t="s">
        <v>620</v>
      </c>
      <c r="C42" s="135"/>
      <c r="D42" s="135">
        <v>150</v>
      </c>
      <c r="E42" s="135">
        <v>1.8</v>
      </c>
      <c r="F42" s="135"/>
      <c r="G42" s="136">
        <f>ROUND(IF(PRODUCT(IF(C42=0,1,C42),IF(D42=0,1,D42),IF(E42=0,1,E42),IF(F42=0,1,F42))=1,0,PRODUCT(IF(C42=0,1,C42),IF(D42=0,1,D42),IF(E42=0,1,E42),IF(F42=0,1,F42))),2)</f>
        <v>270</v>
      </c>
      <c r="H42" s="131"/>
    </row>
    <row r="43" spans="1:8" x14ac:dyDescent="0.3">
      <c r="A43" s="132"/>
      <c r="B43" s="134" t="s">
        <v>621</v>
      </c>
      <c r="C43" s="135">
        <v>366.12</v>
      </c>
      <c r="D43" s="135"/>
      <c r="E43" s="135"/>
      <c r="F43" s="135"/>
      <c r="G43" s="136">
        <f t="shared" ref="G43:G45" si="5">ROUND(IF(PRODUCT(IF(C43=0,1,C43),IF(D43=0,1,D43),IF(E43=0,1,E43),IF(F43=0,1,F43))=1,0,PRODUCT(IF(C43=0,1,C43),IF(D43=0,1,D43),IF(E43=0,1,E43),IF(F43=0,1,F43))),2)</f>
        <v>366.12</v>
      </c>
      <c r="H43" s="131"/>
    </row>
    <row r="44" spans="1:8" x14ac:dyDescent="0.3">
      <c r="A44" s="132"/>
      <c r="B44" s="134" t="s">
        <v>622</v>
      </c>
      <c r="C44" s="135"/>
      <c r="D44" s="135">
        <f>53.8+14.5+7.5</f>
        <v>75.8</v>
      </c>
      <c r="E44" s="135">
        <v>2</v>
      </c>
      <c r="F44" s="135"/>
      <c r="G44" s="136">
        <f t="shared" si="5"/>
        <v>151.6</v>
      </c>
      <c r="H44" s="131"/>
    </row>
    <row r="45" spans="1:8" x14ac:dyDescent="0.3">
      <c r="A45" s="132"/>
      <c r="B45" s="134"/>
      <c r="C45" s="137"/>
      <c r="D45" s="137"/>
      <c r="E45" s="137"/>
      <c r="F45" s="137"/>
      <c r="G45" s="136">
        <f t="shared" si="5"/>
        <v>0</v>
      </c>
      <c r="H45" s="131"/>
    </row>
    <row r="46" spans="1:8" x14ac:dyDescent="0.3">
      <c r="A46" s="132"/>
      <c r="C46" s="139"/>
      <c r="D46" s="212"/>
      <c r="E46" s="140" t="s">
        <v>616</v>
      </c>
      <c r="F46" s="141" t="s">
        <v>617</v>
      </c>
      <c r="G46" s="142">
        <f>SUM(G42:G45)</f>
        <v>787.72</v>
      </c>
      <c r="H46" s="143" t="s">
        <v>25</v>
      </c>
    </row>
    <row r="47" spans="1:8" x14ac:dyDescent="0.3">
      <c r="A47" s="132" t="str">
        <f>BASE!A20</f>
        <v>2.1.2</v>
      </c>
      <c r="B47" s="306" t="str">
        <f>BASE!D20</f>
        <v>DEMOLIÇÃO DE MEIO-FIO GRANÍTICO OU PRÉ-MOLDADO</v>
      </c>
      <c r="C47" s="307"/>
      <c r="D47" s="308"/>
      <c r="H47" s="131"/>
    </row>
    <row r="48" spans="1:8" x14ac:dyDescent="0.3">
      <c r="A48" s="132"/>
      <c r="B48" s="133" t="s">
        <v>612</v>
      </c>
      <c r="C48" s="133" t="s">
        <v>623</v>
      </c>
      <c r="D48" s="133" t="s">
        <v>613</v>
      </c>
      <c r="E48" s="133" t="s">
        <v>614</v>
      </c>
      <c r="F48" s="133" t="s">
        <v>615</v>
      </c>
      <c r="G48" s="133" t="s">
        <v>616</v>
      </c>
      <c r="H48" s="131"/>
    </row>
    <row r="49" spans="1:8" x14ac:dyDescent="0.3">
      <c r="A49" s="132"/>
      <c r="B49" s="134" t="s">
        <v>624</v>
      </c>
      <c r="C49" s="135">
        <v>2</v>
      </c>
      <c r="D49" s="135">
        <v>570</v>
      </c>
      <c r="E49" s="135"/>
      <c r="F49" s="135"/>
      <c r="G49" s="136">
        <f>ROUND(IF(PRODUCT(IF(C49=0,1,C49),IF(D49=0,1,D49),IF(E49=0,1,E49),IF(F49=0,1,F49))=1,0,PRODUCT(IF(C49=0,1,C49),IF(D49=0,1,D49),IF(E49=0,1,E49),IF(F49=0,1,F49))),2)</f>
        <v>1140</v>
      </c>
      <c r="H49" s="131"/>
    </row>
    <row r="50" spans="1:8" x14ac:dyDescent="0.3">
      <c r="A50" s="132"/>
      <c r="B50" s="134"/>
      <c r="C50" s="137"/>
      <c r="D50" s="137"/>
      <c r="E50" s="137"/>
      <c r="F50" s="137"/>
      <c r="G50" s="136">
        <f t="shared" ref="G50" si="6">ROUND(IF(PRODUCT(IF(C50=0,1,C50),IF(D50=0,1,D50),IF(E50=0,1,E50),IF(F50=0,1,F50))=1,0,PRODUCT(IF(C50=0,1,C50),IF(D50=0,1,D50),IF(E50=0,1,E50),IF(F50=0,1,F50))),2)</f>
        <v>0</v>
      </c>
      <c r="H50" s="131"/>
    </row>
    <row r="51" spans="1:8" x14ac:dyDescent="0.3">
      <c r="A51" s="132"/>
      <c r="C51" s="139"/>
      <c r="D51" s="212"/>
      <c r="E51" s="140" t="s">
        <v>616</v>
      </c>
      <c r="F51" s="141" t="s">
        <v>617</v>
      </c>
      <c r="G51" s="142">
        <f>SUM(G49:G50)</f>
        <v>1140</v>
      </c>
      <c r="H51" s="143" t="s">
        <v>50</v>
      </c>
    </row>
    <row r="52" spans="1:8" x14ac:dyDescent="0.3">
      <c r="A52" s="251" t="str">
        <f>BASE!A21</f>
        <v>2.2</v>
      </c>
      <c r="B52" s="252" t="str">
        <f>BASE!D21</f>
        <v>PAREDES E ELEVAÇÕES</v>
      </c>
      <c r="H52" s="131"/>
    </row>
    <row r="53" spans="1:8" ht="24" customHeight="1" x14ac:dyDescent="0.3">
      <c r="A53" s="132" t="str">
        <f>BASE!A22</f>
        <v>2.2.1</v>
      </c>
      <c r="B53" s="294" t="str">
        <f>BASE!D22</f>
        <v>DEMOLIÇÃO DE ALVENARIA DE BLOCO FURADO, DE FORMA MANUAL, SEM REAPROVEITAMENTO. AF_12/2017</v>
      </c>
      <c r="C53" s="295"/>
      <c r="D53" s="296"/>
      <c r="H53" s="131"/>
    </row>
    <row r="54" spans="1:8" x14ac:dyDescent="0.3">
      <c r="A54" s="132"/>
      <c r="B54" s="133" t="s">
        <v>612</v>
      </c>
      <c r="C54" s="133" t="s">
        <v>265</v>
      </c>
      <c r="D54" s="133" t="s">
        <v>613</v>
      </c>
      <c r="E54" s="133" t="s">
        <v>614</v>
      </c>
      <c r="F54" s="133" t="s">
        <v>615</v>
      </c>
      <c r="G54" s="133" t="s">
        <v>616</v>
      </c>
      <c r="H54" s="131"/>
    </row>
    <row r="55" spans="1:8" x14ac:dyDescent="0.3">
      <c r="A55" s="132"/>
      <c r="B55" s="134" t="s">
        <v>625</v>
      </c>
      <c r="C55" s="135"/>
      <c r="D55" s="135">
        <f>53.8+14.5+7.5</f>
        <v>75.8</v>
      </c>
      <c r="E55" s="135">
        <v>0.15</v>
      </c>
      <c r="F55" s="135">
        <v>1.5</v>
      </c>
      <c r="G55" s="136">
        <f>ROUND(IF(PRODUCT(IF(C55=0,1,C55),IF(D55=0,1,D55),IF(E55=0,1,E55),IF(F55=0,1,F55))=1,0,PRODUCT(IF(C55=0,1,C55),IF(D55=0,1,D55),IF(E55=0,1,E55),IF(F55=0,1,F55))),2)</f>
        <v>17.059999999999999</v>
      </c>
      <c r="H55" s="131"/>
    </row>
    <row r="56" spans="1:8" x14ac:dyDescent="0.3">
      <c r="A56" s="132"/>
      <c r="B56" s="134"/>
      <c r="C56" s="137"/>
      <c r="D56" s="137"/>
      <c r="E56" s="137"/>
      <c r="F56" s="137"/>
      <c r="G56" s="136">
        <f t="shared" ref="G56" si="7">ROUND(IF(PRODUCT(IF(C56=0,1,C56),IF(D56=0,1,D56),IF(E56=0,1,E56),IF(F56=0,1,F56))=1,0,PRODUCT(IF(C56=0,1,C56),IF(D56=0,1,D56),IF(E56=0,1,E56),IF(F56=0,1,F56))),2)</f>
        <v>0</v>
      </c>
      <c r="H56" s="131"/>
    </row>
    <row r="57" spans="1:8" x14ac:dyDescent="0.3">
      <c r="A57" s="132"/>
      <c r="C57" s="139"/>
      <c r="D57" s="212"/>
      <c r="E57" s="140" t="s">
        <v>616</v>
      </c>
      <c r="F57" s="141" t="s">
        <v>617</v>
      </c>
      <c r="G57" s="142">
        <f>SUM(G55:G56)</f>
        <v>17.059999999999999</v>
      </c>
      <c r="H57" s="143" t="s">
        <v>39</v>
      </c>
    </row>
    <row r="58" spans="1:8" ht="24" customHeight="1" x14ac:dyDescent="0.3">
      <c r="A58" s="132" t="str">
        <f>BASE!A23</f>
        <v>2.2.2</v>
      </c>
      <c r="B58" s="294" t="str">
        <f>BASE!D23</f>
        <v>DEMOLIÇÃO DE PILARES E VIGAS EM CONCRETO ARMADO, DE FORMA MANUAL, SEM REAPROVEITAMENTO. AF_12/2017</v>
      </c>
      <c r="C58" s="295"/>
      <c r="D58" s="296"/>
      <c r="H58" s="131"/>
    </row>
    <row r="59" spans="1:8" x14ac:dyDescent="0.3">
      <c r="A59" s="132"/>
      <c r="B59" s="133" t="s">
        <v>612</v>
      </c>
      <c r="C59" s="133" t="s">
        <v>265</v>
      </c>
      <c r="D59" s="133" t="s">
        <v>613</v>
      </c>
      <c r="E59" s="133" t="s">
        <v>614</v>
      </c>
      <c r="F59" s="133" t="s">
        <v>615</v>
      </c>
      <c r="G59" s="133" t="s">
        <v>616</v>
      </c>
      <c r="H59" s="131"/>
    </row>
    <row r="60" spans="1:8" x14ac:dyDescent="0.3">
      <c r="A60" s="132"/>
      <c r="B60" s="134" t="s">
        <v>626</v>
      </c>
      <c r="C60" s="135">
        <v>18</v>
      </c>
      <c r="D60" s="135">
        <v>0.15</v>
      </c>
      <c r="E60" s="135">
        <v>0.3</v>
      </c>
      <c r="F60" s="135">
        <v>2.2000000000000002</v>
      </c>
      <c r="G60" s="136">
        <f>ROUND(IF(PRODUCT(IF(C60=0,1,C60),IF(D60=0,1,D60),IF(E60=0,1,E60),IF(F60=0,1,F60))=1,0,PRODUCT(IF(C60=0,1,C60),IF(D60=0,1,D60),IF(E60=0,1,E60),IF(F60=0,1,F60))),2)</f>
        <v>1.78</v>
      </c>
      <c r="H60" s="131"/>
    </row>
    <row r="61" spans="1:8" x14ac:dyDescent="0.3">
      <c r="A61" s="132"/>
      <c r="B61" s="134" t="s">
        <v>627</v>
      </c>
      <c r="C61" s="135">
        <v>12</v>
      </c>
      <c r="D61" s="135">
        <v>0.3</v>
      </c>
      <c r="E61" s="135">
        <v>0.3</v>
      </c>
      <c r="F61" s="135">
        <v>3</v>
      </c>
      <c r="G61" s="136">
        <f t="shared" ref="G61:G62" si="8">ROUND(IF(PRODUCT(IF(C61=0,1,C61),IF(D61=0,1,D61),IF(E61=0,1,E61),IF(F61=0,1,F61))=1,0,PRODUCT(IF(C61=0,1,C61),IF(D61=0,1,D61),IF(E61=0,1,E61),IF(F61=0,1,F61))),2)</f>
        <v>3.24</v>
      </c>
      <c r="H61" s="131"/>
    </row>
    <row r="62" spans="1:8" x14ac:dyDescent="0.3">
      <c r="A62" s="132"/>
      <c r="B62" s="134"/>
      <c r="C62" s="137"/>
      <c r="D62" s="137"/>
      <c r="E62" s="137"/>
      <c r="F62" s="137"/>
      <c r="G62" s="136">
        <f t="shared" si="8"/>
        <v>0</v>
      </c>
      <c r="H62" s="131"/>
    </row>
    <row r="63" spans="1:8" x14ac:dyDescent="0.3">
      <c r="A63" s="132"/>
      <c r="C63" s="139"/>
      <c r="D63" s="212"/>
      <c r="E63" s="140" t="s">
        <v>616</v>
      </c>
      <c r="F63" s="141" t="s">
        <v>617</v>
      </c>
      <c r="G63" s="142">
        <f>SUM(G60:G62)</f>
        <v>5.0200000000000005</v>
      </c>
      <c r="H63" s="143" t="s">
        <v>39</v>
      </c>
    </row>
    <row r="64" spans="1:8" x14ac:dyDescent="0.3">
      <c r="A64" s="251" t="str">
        <f>BASE!A24</f>
        <v>2.3</v>
      </c>
      <c r="B64" s="252" t="str">
        <f>BASE!D24</f>
        <v>GRADES E CERCA DE PROTEÇÃO</v>
      </c>
      <c r="H64" s="131"/>
    </row>
    <row r="65" spans="1:8" x14ac:dyDescent="0.3">
      <c r="A65" s="132" t="str">
        <f>BASE!A25</f>
        <v>2.3.1</v>
      </c>
      <c r="B65" s="294" t="str">
        <f>BASE!D25</f>
        <v>RETIRADA DE GRADE DE FERRO</v>
      </c>
      <c r="C65" s="295"/>
      <c r="D65" s="296"/>
      <c r="H65" s="131"/>
    </row>
    <row r="66" spans="1:8" x14ac:dyDescent="0.3">
      <c r="A66" s="132"/>
      <c r="B66" s="133" t="s">
        <v>612</v>
      </c>
      <c r="C66" s="133" t="s">
        <v>265</v>
      </c>
      <c r="D66" s="133" t="s">
        <v>613</v>
      </c>
      <c r="E66" s="133" t="s">
        <v>614</v>
      </c>
      <c r="F66" s="133" t="s">
        <v>615</v>
      </c>
      <c r="G66" s="133" t="s">
        <v>616</v>
      </c>
      <c r="H66" s="131"/>
    </row>
    <row r="67" spans="1:8" x14ac:dyDescent="0.3">
      <c r="A67" s="132"/>
      <c r="B67" s="134" t="s">
        <v>628</v>
      </c>
      <c r="C67" s="135"/>
      <c r="D67" s="135">
        <f>53.8+14.5+7.5</f>
        <v>75.8</v>
      </c>
      <c r="E67" s="135"/>
      <c r="F67" s="135">
        <v>1</v>
      </c>
      <c r="G67" s="136">
        <f>ROUND(IF(PRODUCT(IF(C67=0,1,C67),IF(D67=0,1,D67),IF(E67=0,1,E67),IF(F67=0,1,F67))=1,0,PRODUCT(IF(C67=0,1,C67),IF(D67=0,1,D67),IF(E67=0,1,E67),IF(F67=0,1,F67))),2)</f>
        <v>75.8</v>
      </c>
      <c r="H67" s="131"/>
    </row>
    <row r="68" spans="1:8" x14ac:dyDescent="0.3">
      <c r="A68" s="132"/>
      <c r="B68" s="134" t="s">
        <v>629</v>
      </c>
      <c r="C68" s="135"/>
      <c r="D68" s="135">
        <v>184.8</v>
      </c>
      <c r="E68" s="135"/>
      <c r="F68" s="135">
        <v>2</v>
      </c>
      <c r="G68" s="136">
        <f t="shared" ref="G68:G69" si="9">ROUND(IF(PRODUCT(IF(C68=0,1,C68),IF(D68=0,1,D68),IF(E68=0,1,E68),IF(F68=0,1,F68))=1,0,PRODUCT(IF(C68=0,1,C68),IF(D68=0,1,D68),IF(E68=0,1,E68),IF(F68=0,1,F68))),2)</f>
        <v>369.6</v>
      </c>
      <c r="H68" s="131"/>
    </row>
    <row r="69" spans="1:8" x14ac:dyDescent="0.3">
      <c r="A69" s="132"/>
      <c r="B69" s="134"/>
      <c r="C69" s="137"/>
      <c r="D69" s="137"/>
      <c r="E69" s="137"/>
      <c r="F69" s="137"/>
      <c r="G69" s="136">
        <f t="shared" si="9"/>
        <v>0</v>
      </c>
      <c r="H69" s="131"/>
    </row>
    <row r="70" spans="1:8" x14ac:dyDescent="0.3">
      <c r="A70" s="132"/>
      <c r="C70" s="139"/>
      <c r="D70" s="212"/>
      <c r="E70" s="140" t="s">
        <v>616</v>
      </c>
      <c r="F70" s="141" t="s">
        <v>617</v>
      </c>
      <c r="G70" s="142">
        <f>SUM(G67:G69)</f>
        <v>445.40000000000003</v>
      </c>
      <c r="H70" s="143" t="s">
        <v>25</v>
      </c>
    </row>
    <row r="71" spans="1:8" x14ac:dyDescent="0.3">
      <c r="A71" s="251" t="str">
        <f>BASE!A26</f>
        <v>2.4</v>
      </c>
      <c r="B71" s="252" t="str">
        <f>BASE!D26</f>
        <v>COBERTA DA QUADRA</v>
      </c>
      <c r="H71" s="131"/>
    </row>
    <row r="72" spans="1:8" x14ac:dyDescent="0.3">
      <c r="A72" s="132" t="str">
        <f>BASE!A27</f>
        <v>2.4.1</v>
      </c>
      <c r="B72" s="294" t="str">
        <f>BASE!D27</f>
        <v>ANDAIME METÁLICO FACHADEIRO - LOCAÇÃO MENSAL , MONTAGEM E DESMONTAGEM</v>
      </c>
      <c r="C72" s="295"/>
      <c r="D72" s="296"/>
      <c r="H72" s="131"/>
    </row>
    <row r="73" spans="1:8" x14ac:dyDescent="0.3">
      <c r="A73" s="132"/>
      <c r="B73" s="133" t="s">
        <v>612</v>
      </c>
      <c r="C73" s="133" t="s">
        <v>265</v>
      </c>
      <c r="D73" s="133" t="s">
        <v>613</v>
      </c>
      <c r="E73" s="133" t="s">
        <v>614</v>
      </c>
      <c r="F73" s="133" t="s">
        <v>615</v>
      </c>
      <c r="G73" s="133" t="s">
        <v>616</v>
      </c>
      <c r="H73" s="131"/>
    </row>
    <row r="74" spans="1:8" x14ac:dyDescent="0.3">
      <c r="A74" s="132"/>
      <c r="B74" s="134"/>
      <c r="C74" s="135">
        <v>1</v>
      </c>
      <c r="D74" s="135">
        <v>42.7</v>
      </c>
      <c r="E74" s="135">
        <v>21.8</v>
      </c>
      <c r="F74" s="135"/>
      <c r="G74" s="136">
        <f>ROUND(IF(PRODUCT(IF(C74=0,1,C74),IF(D74=0,1,D74),IF(E74=0,1,E74),IF(F74=0,1,F74))=1,0,PRODUCT(IF(C74=0,1,C74),IF(D74=0,1,D74),IF(E74=0,1,E74),IF(F74=0,1,F74))),2)</f>
        <v>930.86</v>
      </c>
      <c r="H74" s="131"/>
    </row>
    <row r="75" spans="1:8" x14ac:dyDescent="0.3">
      <c r="A75" s="132"/>
      <c r="B75" s="134"/>
      <c r="C75" s="137"/>
      <c r="D75" s="137"/>
      <c r="E75" s="137"/>
      <c r="F75" s="137"/>
      <c r="G75" s="136">
        <f t="shared" ref="G75" si="10">ROUND(IF(PRODUCT(IF(C75=0,1,C75),IF(D75=0,1,D75),IF(E75=0,1,E75),IF(F75=0,1,F75))=1,0,PRODUCT(IF(C75=0,1,C75),IF(D75=0,1,D75),IF(E75=0,1,E75),IF(F75=0,1,F75))),2)</f>
        <v>0</v>
      </c>
      <c r="H75" s="131"/>
    </row>
    <row r="76" spans="1:8" x14ac:dyDescent="0.3">
      <c r="A76" s="132"/>
      <c r="C76" s="139"/>
      <c r="D76" s="212"/>
      <c r="E76" s="140" t="s">
        <v>616</v>
      </c>
      <c r="F76" s="141" t="s">
        <v>617</v>
      </c>
      <c r="G76" s="142">
        <f>SUM(G74:G75)</f>
        <v>930.86</v>
      </c>
      <c r="H76" s="143" t="str">
        <f>BASE!E27</f>
        <v>m² x mês</v>
      </c>
    </row>
    <row r="77" spans="1:8" x14ac:dyDescent="0.3">
      <c r="A77" s="132" t="str">
        <f>BASE!A28</f>
        <v>2.4.2</v>
      </c>
      <c r="B77" s="294" t="str">
        <f>BASE!D28</f>
        <v>REMOÇÃO DE TALHAMENTO COM TELHAS ONDULADAS FIBROCIMENTO OU ALUMÍNIO</v>
      </c>
      <c r="C77" s="295"/>
      <c r="D77" s="296"/>
      <c r="H77" s="131"/>
    </row>
    <row r="78" spans="1:8" x14ac:dyDescent="0.3">
      <c r="A78" s="132"/>
      <c r="B78" s="133" t="s">
        <v>612</v>
      </c>
      <c r="C78" s="133" t="s">
        <v>265</v>
      </c>
      <c r="D78" s="133" t="s">
        <v>613</v>
      </c>
      <c r="E78" s="133" t="s">
        <v>614</v>
      </c>
      <c r="F78" s="133" t="s">
        <v>615</v>
      </c>
      <c r="G78" s="133" t="s">
        <v>616</v>
      </c>
      <c r="H78" s="131"/>
    </row>
    <row r="79" spans="1:8" x14ac:dyDescent="0.3">
      <c r="A79" s="132"/>
      <c r="B79" s="134"/>
      <c r="C79" s="135"/>
      <c r="D79" s="135">
        <v>42.7</v>
      </c>
      <c r="E79" s="135">
        <v>21.8</v>
      </c>
      <c r="F79" s="135"/>
      <c r="G79" s="136">
        <f>ROUND(IF(PRODUCT(IF(C79=0,1,C79),IF(D79=0,1,D79),IF(E79=0,1,E79),IF(F79=0,1,F79))=1,0,PRODUCT(IF(C79=0,1,C79),IF(D79=0,1,D79),IF(E79=0,1,E79),IF(F79=0,1,F79))),2)</f>
        <v>930.86</v>
      </c>
      <c r="H79" s="131"/>
    </row>
    <row r="80" spans="1:8" x14ac:dyDescent="0.3">
      <c r="A80" s="132"/>
      <c r="B80" s="134"/>
      <c r="C80" s="137"/>
      <c r="D80" s="137"/>
      <c r="E80" s="137"/>
      <c r="F80" s="137"/>
      <c r="G80" s="136">
        <f t="shared" ref="G80" si="11">ROUND(IF(PRODUCT(IF(C80=0,1,C80),IF(D80=0,1,D80),IF(E80=0,1,E80),IF(F80=0,1,F80))=1,0,PRODUCT(IF(C80=0,1,C80),IF(D80=0,1,D80),IF(E80=0,1,E80),IF(F80=0,1,F80))),2)</f>
        <v>0</v>
      </c>
      <c r="H80" s="131"/>
    </row>
    <row r="81" spans="1:8" x14ac:dyDescent="0.3">
      <c r="A81" s="132"/>
      <c r="C81" s="139"/>
      <c r="D81" s="212"/>
      <c r="E81" s="140" t="s">
        <v>616</v>
      </c>
      <c r="F81" s="141" t="s">
        <v>617</v>
      </c>
      <c r="G81" s="142">
        <f>SUM(G79:G80)</f>
        <v>930.86</v>
      </c>
      <c r="H81" s="143" t="str">
        <f>BASE!E28</f>
        <v>m²</v>
      </c>
    </row>
    <row r="82" spans="1:8" x14ac:dyDescent="0.3">
      <c r="A82" s="249" t="str">
        <f>BASE!A29</f>
        <v>3.0</v>
      </c>
      <c r="B82" s="250" t="str">
        <f>BASE!D29</f>
        <v>INFRA-ESTRUTURA</v>
      </c>
      <c r="H82" s="131"/>
    </row>
    <row r="83" spans="1:8" x14ac:dyDescent="0.3">
      <c r="A83" s="251" t="str">
        <f>BASE!A30</f>
        <v>3.1</v>
      </c>
      <c r="B83" s="252" t="str">
        <f>BASE!D30</f>
        <v xml:space="preserve">LOCAÇÃO </v>
      </c>
      <c r="H83" s="131"/>
    </row>
    <row r="84" spans="1:8" x14ac:dyDescent="0.3">
      <c r="A84" s="132" t="str">
        <f>BASE!A31</f>
        <v>3.1.1</v>
      </c>
      <c r="B84" s="294" t="str">
        <f>BASE!D31</f>
        <v>LOCAÇÃO DE PRAÇAS COM PIQUETES DE MADEIRA</v>
      </c>
      <c r="C84" s="295"/>
      <c r="D84" s="296"/>
      <c r="H84" s="131"/>
    </row>
    <row r="85" spans="1:8" x14ac:dyDescent="0.3">
      <c r="A85" s="132"/>
      <c r="B85" s="133" t="s">
        <v>612</v>
      </c>
      <c r="C85" s="133" t="s">
        <v>618</v>
      </c>
      <c r="D85" s="133" t="s">
        <v>613</v>
      </c>
      <c r="E85" s="133" t="s">
        <v>614</v>
      </c>
      <c r="F85" s="133" t="s">
        <v>615</v>
      </c>
      <c r="G85" s="133" t="s">
        <v>616</v>
      </c>
      <c r="H85" s="131"/>
    </row>
    <row r="86" spans="1:8" x14ac:dyDescent="0.3">
      <c r="A86" s="132"/>
      <c r="B86" s="134" t="s">
        <v>619</v>
      </c>
      <c r="C86" s="135">
        <f>7591.73+87.44+1071.32+1918.1+998.25+130.88+1261.85</f>
        <v>13059.57</v>
      </c>
      <c r="D86" s="135"/>
      <c r="E86" s="135"/>
      <c r="F86" s="135"/>
      <c r="G86" s="136">
        <f>ROUND(IF(PRODUCT(IF(C86=0,1,C86),IF(D86=0,1,D86),IF(E86=0,1,E86),IF(F86=0,1,F86))=1,0,PRODUCT(IF(C86=0,1,C86),IF(D86=0,1,D86),IF(E86=0,1,E86),IF(F86=0,1,F86))),2)</f>
        <v>13059.57</v>
      </c>
      <c r="H86" s="131"/>
    </row>
    <row r="87" spans="1:8" x14ac:dyDescent="0.3">
      <c r="A87" s="132"/>
      <c r="B87" s="134"/>
      <c r="C87" s="137"/>
      <c r="D87" s="137"/>
      <c r="E87" s="137"/>
      <c r="F87" s="137"/>
      <c r="G87" s="136">
        <f t="shared" ref="G87" si="12">ROUND(IF(PRODUCT(IF(C87=0,1,C87),IF(D87=0,1,D87),IF(E87=0,1,E87),IF(F87=0,1,F87))=1,0,PRODUCT(IF(C87=0,1,C87),IF(D87=0,1,D87),IF(E87=0,1,E87),IF(F87=0,1,F87))),2)</f>
        <v>0</v>
      </c>
      <c r="H87" s="131"/>
    </row>
    <row r="88" spans="1:8" x14ac:dyDescent="0.3">
      <c r="A88" s="132"/>
      <c r="C88" s="139"/>
      <c r="D88" s="212"/>
      <c r="E88" s="140" t="s">
        <v>616</v>
      </c>
      <c r="F88" s="141" t="s">
        <v>617</v>
      </c>
      <c r="G88" s="142">
        <f>SUM(G86:G87)</f>
        <v>13059.57</v>
      </c>
      <c r="H88" s="143" t="str">
        <f>BASE!E31</f>
        <v>m²</v>
      </c>
    </row>
    <row r="89" spans="1:8" x14ac:dyDescent="0.3">
      <c r="A89" s="251" t="str">
        <f>BASE!A32</f>
        <v>3.2</v>
      </c>
      <c r="B89" s="252" t="str">
        <f>BASE!D32</f>
        <v>DRENAGEM</v>
      </c>
      <c r="H89" s="131"/>
    </row>
    <row r="90" spans="1:8" ht="34.15" customHeight="1" x14ac:dyDescent="0.3">
      <c r="A90" s="132" t="str">
        <f>BASE!A33</f>
        <v>3.2.1</v>
      </c>
      <c r="B90" s="294" t="str">
        <f>BASE!D33</f>
        <v>TUBO DE CONCRETO PARA REDES COLETORAS DE ÁGUAS PLUVIAIS, DIÂMETRO DE 800 MM, JUNTA RÍGIDA, INSTALADO EM LOCAL COM BAIXO NÍVEL DE INTERFERÊNCIAS - FORNECIMENTO E ASSENTAMENTO. AF_12/2015</v>
      </c>
      <c r="C90" s="295"/>
      <c r="D90" s="296"/>
      <c r="H90" s="131"/>
    </row>
    <row r="91" spans="1:8" x14ac:dyDescent="0.3">
      <c r="A91" s="132"/>
      <c r="B91" s="133" t="s">
        <v>612</v>
      </c>
      <c r="C91" s="133" t="s">
        <v>265</v>
      </c>
      <c r="D91" s="133" t="s">
        <v>613</v>
      </c>
      <c r="E91" s="133" t="s">
        <v>614</v>
      </c>
      <c r="F91" s="133" t="s">
        <v>615</v>
      </c>
      <c r="G91" s="133" t="s">
        <v>616</v>
      </c>
      <c r="H91" s="131"/>
    </row>
    <row r="92" spans="1:8" x14ac:dyDescent="0.3">
      <c r="A92" s="132"/>
      <c r="B92" s="134" t="s">
        <v>630</v>
      </c>
      <c r="C92" s="135"/>
      <c r="D92" s="135">
        <v>46.8</v>
      </c>
      <c r="E92" s="135"/>
      <c r="F92" s="135"/>
      <c r="G92" s="136">
        <f>ROUND(IF(PRODUCT(IF(C92=0,1,C92),IF(D92=0,1,D92),IF(E92=0,1,E92),IF(F92=0,1,F92))=1,0,PRODUCT(IF(C92=0,1,C92),IF(D92=0,1,D92),IF(E92=0,1,E92),IF(F92=0,1,F92))),2)</f>
        <v>46.8</v>
      </c>
      <c r="H92" s="131"/>
    </row>
    <row r="93" spans="1:8" x14ac:dyDescent="0.3">
      <c r="A93" s="132"/>
      <c r="B93" s="134"/>
      <c r="C93" s="137"/>
      <c r="D93" s="137"/>
      <c r="E93" s="137"/>
      <c r="F93" s="137"/>
      <c r="G93" s="136">
        <f t="shared" ref="G93" si="13">ROUND(IF(PRODUCT(IF(C93=0,1,C93),IF(D93=0,1,D93),IF(E93=0,1,E93),IF(F93=0,1,F93))=1,0,PRODUCT(IF(C93=0,1,C93),IF(D93=0,1,D93),IF(E93=0,1,E93),IF(F93=0,1,F93))),2)</f>
        <v>0</v>
      </c>
      <c r="H93" s="131"/>
    </row>
    <row r="94" spans="1:8" x14ac:dyDescent="0.3">
      <c r="A94" s="132"/>
      <c r="C94" s="139"/>
      <c r="D94" s="212"/>
      <c r="E94" s="140" t="s">
        <v>616</v>
      </c>
      <c r="F94" s="141" t="s">
        <v>617</v>
      </c>
      <c r="G94" s="142">
        <f>SUM(G92:G93)</f>
        <v>46.8</v>
      </c>
      <c r="H94" s="143" t="s">
        <v>50</v>
      </c>
    </row>
    <row r="95" spans="1:8" x14ac:dyDescent="0.3">
      <c r="A95" s="251" t="str">
        <f>BASE!A34</f>
        <v>3.3</v>
      </c>
      <c r="B95" s="252" t="str">
        <f>BASE!D34</f>
        <v>MOVIMENTO EM TERRA</v>
      </c>
      <c r="H95" s="131"/>
    </row>
    <row r="96" spans="1:8" x14ac:dyDescent="0.3">
      <c r="A96" s="132" t="str">
        <f>BASE!A35</f>
        <v>3.3.1</v>
      </c>
      <c r="B96" s="294" t="str">
        <f>BASE!D35</f>
        <v>ESCAVAÇÃO MANUAL DE VALA PARA VIGA BALDRAME, COM PREVISÃO DE FÔRMA. AF_06/2017</v>
      </c>
      <c r="C96" s="295"/>
      <c r="D96" s="296"/>
      <c r="H96" s="131"/>
    </row>
    <row r="97" spans="1:8" x14ac:dyDescent="0.3">
      <c r="A97" s="132"/>
      <c r="B97" s="133" t="s">
        <v>612</v>
      </c>
      <c r="C97" s="133" t="s">
        <v>265</v>
      </c>
      <c r="D97" s="133" t="s">
        <v>613</v>
      </c>
      <c r="E97" s="133" t="s">
        <v>614</v>
      </c>
      <c r="F97" s="133" t="s">
        <v>615</v>
      </c>
      <c r="G97" s="133" t="s">
        <v>616</v>
      </c>
      <c r="H97" s="131"/>
    </row>
    <row r="98" spans="1:8" x14ac:dyDescent="0.3">
      <c r="A98" s="132"/>
      <c r="B98" s="134" t="s">
        <v>631</v>
      </c>
      <c r="C98" s="135">
        <v>4</v>
      </c>
      <c r="D98" s="135">
        <v>11.5</v>
      </c>
      <c r="E98" s="135">
        <v>0.3</v>
      </c>
      <c r="F98" s="135">
        <v>0.35</v>
      </c>
      <c r="G98" s="136">
        <f>ROUND(IF(PRODUCT(IF(C98=0,1,C98),IF(D98=0,1,D98),IF(E98=0,1,E98),IF(F98=0,1,F98))=1,0,PRODUCT(IF(C98=0,1,C98),IF(D98=0,1,D98),IF(E98=0,1,E98),IF(F98=0,1,F98))),2)</f>
        <v>4.83</v>
      </c>
      <c r="H98" s="131"/>
    </row>
    <row r="99" spans="1:8" x14ac:dyDescent="0.3">
      <c r="A99" s="132"/>
      <c r="B99" s="134" t="s">
        <v>632</v>
      </c>
      <c r="C99" s="135">
        <v>1</v>
      </c>
      <c r="D99" s="135">
        <f>6+6+6+6+1.5+1.5</f>
        <v>27</v>
      </c>
      <c r="E99" s="135">
        <v>0.3</v>
      </c>
      <c r="F99" s="135">
        <v>0.35</v>
      </c>
      <c r="G99" s="136">
        <f t="shared" ref="G99:G103" si="14">ROUND(IF(PRODUCT(IF(C99=0,1,C99),IF(D99=0,1,D99),IF(E99=0,1,E99),IF(F99=0,1,F99))=1,0,PRODUCT(IF(C99=0,1,C99),IF(D99=0,1,D99),IF(E99=0,1,E99),IF(F99=0,1,F99))),2)</f>
        <v>2.84</v>
      </c>
      <c r="H99" s="131"/>
    </row>
    <row r="100" spans="1:8" x14ac:dyDescent="0.3">
      <c r="A100" s="132"/>
      <c r="B100" s="134" t="s">
        <v>633</v>
      </c>
      <c r="C100" s="135">
        <v>3</v>
      </c>
      <c r="D100" s="135">
        <f>3+3+3+3+1.5+1.5</f>
        <v>15</v>
      </c>
      <c r="E100" s="135">
        <v>0.3</v>
      </c>
      <c r="F100" s="135">
        <v>0.35</v>
      </c>
      <c r="G100" s="136">
        <f t="shared" si="14"/>
        <v>4.7300000000000004</v>
      </c>
      <c r="H100" s="131"/>
    </row>
    <row r="101" spans="1:8" x14ac:dyDescent="0.3">
      <c r="A101" s="132"/>
      <c r="B101" s="134" t="s">
        <v>634</v>
      </c>
      <c r="C101" s="135">
        <v>19</v>
      </c>
      <c r="D101" s="135">
        <f>3+3+3+1.1+1.1</f>
        <v>11.2</v>
      </c>
      <c r="E101" s="135">
        <v>0.3</v>
      </c>
      <c r="F101" s="135">
        <v>0.35</v>
      </c>
      <c r="G101" s="136">
        <f t="shared" si="14"/>
        <v>22.34</v>
      </c>
      <c r="H101" s="131"/>
    </row>
    <row r="102" spans="1:8" x14ac:dyDescent="0.3">
      <c r="A102" s="132"/>
      <c r="B102" s="134" t="s">
        <v>625</v>
      </c>
      <c r="C102" s="135">
        <v>1</v>
      </c>
      <c r="D102" s="135">
        <f>53.8+14.5+7.5</f>
        <v>75.8</v>
      </c>
      <c r="E102" s="135">
        <v>0.3</v>
      </c>
      <c r="F102" s="135">
        <v>0.35</v>
      </c>
      <c r="G102" s="136">
        <f t="shared" si="14"/>
        <v>7.96</v>
      </c>
      <c r="H102" s="131"/>
    </row>
    <row r="103" spans="1:8" x14ac:dyDescent="0.3">
      <c r="A103" s="132"/>
      <c r="B103" s="134"/>
      <c r="C103" s="137"/>
      <c r="D103" s="137"/>
      <c r="E103" s="137"/>
      <c r="F103" s="137"/>
      <c r="G103" s="136">
        <f t="shared" si="14"/>
        <v>0</v>
      </c>
      <c r="H103" s="131"/>
    </row>
    <row r="104" spans="1:8" x14ac:dyDescent="0.3">
      <c r="A104" s="132"/>
      <c r="C104" s="139"/>
      <c r="D104" s="212"/>
      <c r="E104" s="140" t="s">
        <v>616</v>
      </c>
      <c r="F104" s="141" t="s">
        <v>617</v>
      </c>
      <c r="G104" s="142">
        <f>SUM(G98:G103)</f>
        <v>42.7</v>
      </c>
      <c r="H104" s="143" t="s">
        <v>39</v>
      </c>
    </row>
    <row r="105" spans="1:8" ht="22.9" customHeight="1" x14ac:dyDescent="0.3">
      <c r="A105" s="132" t="str">
        <f>BASE!A36</f>
        <v>3.3.2</v>
      </c>
      <c r="B105" s="294" t="str">
        <f>BASE!D36</f>
        <v>PREPARO DE FUNDO DE VALA COM LARGURA MENOR QUE 1,5 M (ACERTO DO SOLO NATURAL). AF_08/2020</v>
      </c>
      <c r="C105" s="295"/>
      <c r="D105" s="296"/>
      <c r="H105" s="131"/>
    </row>
    <row r="106" spans="1:8" x14ac:dyDescent="0.3">
      <c r="A106" s="132"/>
      <c r="B106" s="133" t="s">
        <v>612</v>
      </c>
      <c r="C106" s="133" t="s">
        <v>265</v>
      </c>
      <c r="D106" s="133" t="s">
        <v>613</v>
      </c>
      <c r="E106" s="133" t="s">
        <v>614</v>
      </c>
      <c r="F106" s="133" t="s">
        <v>615</v>
      </c>
      <c r="G106" s="133" t="s">
        <v>616</v>
      </c>
      <c r="H106" s="131"/>
    </row>
    <row r="107" spans="1:8" x14ac:dyDescent="0.3">
      <c r="A107" s="132"/>
      <c r="B107" s="134" t="s">
        <v>631</v>
      </c>
      <c r="C107" s="135">
        <v>4</v>
      </c>
      <c r="D107" s="135">
        <v>11.5</v>
      </c>
      <c r="E107" s="135">
        <v>0.3</v>
      </c>
      <c r="F107" s="135"/>
      <c r="G107" s="136">
        <f>ROUND(IF(PRODUCT(IF(C107=0,1,C107),IF(D107=0,1,D107),IF(E107=0,1,E107),IF(F107=0,1,F107))=1,0,PRODUCT(IF(C107=0,1,C107),IF(D107=0,1,D107),IF(E107=0,1,E107),IF(F107=0,1,F107))),2)</f>
        <v>13.8</v>
      </c>
      <c r="H107" s="131"/>
    </row>
    <row r="108" spans="1:8" x14ac:dyDescent="0.3">
      <c r="A108" s="132"/>
      <c r="B108" s="134" t="s">
        <v>632</v>
      </c>
      <c r="C108" s="135">
        <v>1</v>
      </c>
      <c r="D108" s="135">
        <f>6+6+6+6+1.5+1.5</f>
        <v>27</v>
      </c>
      <c r="E108" s="135">
        <v>0.3</v>
      </c>
      <c r="F108" s="135"/>
      <c r="G108" s="136">
        <f t="shared" ref="G108:G112" si="15">ROUND(IF(PRODUCT(IF(C108=0,1,C108),IF(D108=0,1,D108),IF(E108=0,1,E108),IF(F108=0,1,F108))=1,0,PRODUCT(IF(C108=0,1,C108),IF(D108=0,1,D108),IF(E108=0,1,E108),IF(F108=0,1,F108))),2)</f>
        <v>8.1</v>
      </c>
      <c r="H108" s="131"/>
    </row>
    <row r="109" spans="1:8" x14ac:dyDescent="0.3">
      <c r="A109" s="132"/>
      <c r="B109" s="134" t="s">
        <v>633</v>
      </c>
      <c r="C109" s="135">
        <v>3</v>
      </c>
      <c r="D109" s="135">
        <f>3+3+3+3+1.5+1.5</f>
        <v>15</v>
      </c>
      <c r="E109" s="135">
        <v>0.3</v>
      </c>
      <c r="F109" s="135"/>
      <c r="G109" s="136">
        <f t="shared" si="15"/>
        <v>13.5</v>
      </c>
      <c r="H109" s="131"/>
    </row>
    <row r="110" spans="1:8" x14ac:dyDescent="0.3">
      <c r="A110" s="132"/>
      <c r="B110" s="134" t="s">
        <v>634</v>
      </c>
      <c r="C110" s="135">
        <v>19</v>
      </c>
      <c r="D110" s="135">
        <f>3+3+3+1.1+1.1</f>
        <v>11.2</v>
      </c>
      <c r="E110" s="135">
        <v>0.3</v>
      </c>
      <c r="F110" s="135"/>
      <c r="G110" s="136">
        <f t="shared" si="15"/>
        <v>63.84</v>
      </c>
      <c r="H110" s="131"/>
    </row>
    <row r="111" spans="1:8" x14ac:dyDescent="0.3">
      <c r="A111" s="132"/>
      <c r="B111" s="134" t="s">
        <v>625</v>
      </c>
      <c r="C111" s="135">
        <v>1</v>
      </c>
      <c r="D111" s="135">
        <f>53.8+14.5+7.5</f>
        <v>75.8</v>
      </c>
      <c r="E111" s="135">
        <v>0.3</v>
      </c>
      <c r="F111" s="135"/>
      <c r="G111" s="136">
        <f t="shared" si="15"/>
        <v>22.74</v>
      </c>
      <c r="H111" s="131"/>
    </row>
    <row r="112" spans="1:8" x14ac:dyDescent="0.3">
      <c r="A112" s="132"/>
      <c r="B112" s="134"/>
      <c r="C112" s="137"/>
      <c r="D112" s="137"/>
      <c r="E112" s="137"/>
      <c r="F112" s="137"/>
      <c r="G112" s="136">
        <f t="shared" si="15"/>
        <v>0</v>
      </c>
      <c r="H112" s="131"/>
    </row>
    <row r="113" spans="1:8" x14ac:dyDescent="0.3">
      <c r="A113" s="132"/>
      <c r="C113" s="139"/>
      <c r="D113" s="212"/>
      <c r="E113" s="140" t="s">
        <v>616</v>
      </c>
      <c r="F113" s="141" t="s">
        <v>617</v>
      </c>
      <c r="G113" s="142">
        <f>SUM(G107:G112)</f>
        <v>121.98</v>
      </c>
      <c r="H113" s="143" t="s">
        <v>25</v>
      </c>
    </row>
    <row r="114" spans="1:8" x14ac:dyDescent="0.3">
      <c r="A114" s="251" t="str">
        <f>BASE!A37</f>
        <v>3.4</v>
      </c>
      <c r="B114" s="252" t="str">
        <f>BASE!D37</f>
        <v>RADIER</v>
      </c>
      <c r="H114" s="131"/>
    </row>
    <row r="115" spans="1:8" ht="22.9" customHeight="1" x14ac:dyDescent="0.3">
      <c r="A115" s="132" t="str">
        <f>BASE!A38</f>
        <v>3.4.1</v>
      </c>
      <c r="B115" s="294" t="str">
        <f>BASE!D38</f>
        <v>LASTRO DE CONCRETO MAGRO, APLICADO EM PISOS, LAJES SOBRE SOLO OU RADIERS, ESPESSURA DE 5 CM. AF_07/2016</v>
      </c>
      <c r="C115" s="295"/>
      <c r="D115" s="296"/>
      <c r="H115" s="131"/>
    </row>
    <row r="116" spans="1:8" x14ac:dyDescent="0.3">
      <c r="A116" s="132"/>
      <c r="B116" s="133" t="s">
        <v>612</v>
      </c>
      <c r="C116" s="133" t="s">
        <v>265</v>
      </c>
      <c r="D116" s="133" t="s">
        <v>613</v>
      </c>
      <c r="E116" s="133" t="s">
        <v>614</v>
      </c>
      <c r="F116" s="133" t="s">
        <v>615</v>
      </c>
      <c r="G116" s="133" t="s">
        <v>616</v>
      </c>
      <c r="H116" s="131"/>
    </row>
    <row r="117" spans="1:8" x14ac:dyDescent="0.3">
      <c r="A117" s="132"/>
      <c r="B117" s="134" t="s">
        <v>631</v>
      </c>
      <c r="C117" s="135">
        <v>4</v>
      </c>
      <c r="D117" s="135">
        <v>11.5</v>
      </c>
      <c r="E117" s="135">
        <v>0.3</v>
      </c>
      <c r="F117" s="135"/>
      <c r="G117" s="136">
        <f>ROUND(IF(PRODUCT(IF(C117=0,1,C117),IF(D117=0,1,D117),IF(E117=0,1,E117),IF(F117=0,1,F117))=1,0,PRODUCT(IF(C117=0,1,C117),IF(D117=0,1,D117),IF(E117=0,1,E117),IF(F117=0,1,F117))),2)</f>
        <v>13.8</v>
      </c>
      <c r="H117" s="131"/>
    </row>
    <row r="118" spans="1:8" x14ac:dyDescent="0.3">
      <c r="A118" s="132"/>
      <c r="B118" s="134" t="s">
        <v>632</v>
      </c>
      <c r="C118" s="135">
        <v>1</v>
      </c>
      <c r="D118" s="135">
        <f>6+6+6+6+1.5+1.5</f>
        <v>27</v>
      </c>
      <c r="E118" s="135">
        <v>0.3</v>
      </c>
      <c r="F118" s="135"/>
      <c r="G118" s="136">
        <f t="shared" ref="G118:G122" si="16">ROUND(IF(PRODUCT(IF(C118=0,1,C118),IF(D118=0,1,D118),IF(E118=0,1,E118),IF(F118=0,1,F118))=1,0,PRODUCT(IF(C118=0,1,C118),IF(D118=0,1,D118),IF(E118=0,1,E118),IF(F118=0,1,F118))),2)</f>
        <v>8.1</v>
      </c>
      <c r="H118" s="131"/>
    </row>
    <row r="119" spans="1:8" x14ac:dyDescent="0.3">
      <c r="A119" s="132"/>
      <c r="B119" s="134" t="s">
        <v>633</v>
      </c>
      <c r="C119" s="135">
        <v>3</v>
      </c>
      <c r="D119" s="135">
        <f>3+3+3+3+1.5+1.5</f>
        <v>15</v>
      </c>
      <c r="E119" s="135">
        <v>0.3</v>
      </c>
      <c r="F119" s="135"/>
      <c r="G119" s="136">
        <f t="shared" si="16"/>
        <v>13.5</v>
      </c>
      <c r="H119" s="131"/>
    </row>
    <row r="120" spans="1:8" x14ac:dyDescent="0.3">
      <c r="A120" s="132"/>
      <c r="B120" s="134" t="s">
        <v>634</v>
      </c>
      <c r="C120" s="135">
        <v>19</v>
      </c>
      <c r="D120" s="135">
        <f>3+3+3+1.1+1.1</f>
        <v>11.2</v>
      </c>
      <c r="E120" s="135">
        <v>0.3</v>
      </c>
      <c r="F120" s="135"/>
      <c r="G120" s="136">
        <f t="shared" si="16"/>
        <v>63.84</v>
      </c>
      <c r="H120" s="131"/>
    </row>
    <row r="121" spans="1:8" x14ac:dyDescent="0.3">
      <c r="A121" s="132"/>
      <c r="B121" s="134" t="s">
        <v>625</v>
      </c>
      <c r="C121" s="135">
        <v>1</v>
      </c>
      <c r="D121" s="135">
        <f>53.8+14.5+7.5</f>
        <v>75.8</v>
      </c>
      <c r="E121" s="135">
        <v>0.3</v>
      </c>
      <c r="F121" s="135"/>
      <c r="G121" s="136">
        <f t="shared" si="16"/>
        <v>22.74</v>
      </c>
      <c r="H121" s="131"/>
    </row>
    <row r="122" spans="1:8" x14ac:dyDescent="0.3">
      <c r="A122" s="132"/>
      <c r="B122" s="134"/>
      <c r="C122" s="137"/>
      <c r="D122" s="137"/>
      <c r="E122" s="137"/>
      <c r="F122" s="137"/>
      <c r="G122" s="136">
        <f t="shared" si="16"/>
        <v>0</v>
      </c>
      <c r="H122" s="131"/>
    </row>
    <row r="123" spans="1:8" x14ac:dyDescent="0.3">
      <c r="A123" s="132"/>
      <c r="C123" s="139"/>
      <c r="D123" s="212"/>
      <c r="E123" s="140" t="s">
        <v>616</v>
      </c>
      <c r="F123" s="141" t="s">
        <v>617</v>
      </c>
      <c r="G123" s="142">
        <f>SUM(G117:G122)</f>
        <v>121.98</v>
      </c>
      <c r="H123" s="143" t="s">
        <v>25</v>
      </c>
    </row>
    <row r="124" spans="1:8" ht="33" customHeight="1" x14ac:dyDescent="0.3">
      <c r="A124" s="132" t="str">
        <f>BASE!A39</f>
        <v>3.4.2</v>
      </c>
      <c r="B124" s="294" t="str">
        <f>BASE!D39</f>
        <v>(COMPOSIÇÃO REPRESENTATIVA) EXECUÇÃO DE ESTRUTURAS DE CONCRETO ARMADO, PARA EDIFICAÇÃO HABITACIONAL UNIFAMILIAR TÉRREA (CASA EM EMPREENDIMENTOS), FCK = 25 MPA. AF_01/2017</v>
      </c>
      <c r="C124" s="295"/>
      <c r="D124" s="296"/>
      <c r="H124" s="131"/>
    </row>
    <row r="125" spans="1:8" x14ac:dyDescent="0.3">
      <c r="A125" s="132"/>
      <c r="B125" s="133" t="s">
        <v>612</v>
      </c>
      <c r="C125" s="133" t="s">
        <v>265</v>
      </c>
      <c r="D125" s="133" t="s">
        <v>613</v>
      </c>
      <c r="E125" s="133" t="s">
        <v>614</v>
      </c>
      <c r="F125" s="133" t="s">
        <v>615</v>
      </c>
      <c r="G125" s="133" t="s">
        <v>616</v>
      </c>
      <c r="H125" s="131"/>
    </row>
    <row r="126" spans="1:8" x14ac:dyDescent="0.3">
      <c r="A126" s="132"/>
      <c r="B126" s="134" t="s">
        <v>631</v>
      </c>
      <c r="C126" s="135">
        <v>4</v>
      </c>
      <c r="D126" s="135">
        <v>11.5</v>
      </c>
      <c r="E126" s="135">
        <v>0.2</v>
      </c>
      <c r="F126" s="135">
        <v>0.1</v>
      </c>
      <c r="G126" s="136">
        <f>ROUND(IF(PRODUCT(IF(C126=0,1,C126),IF(D126=0,1,D126),IF(E126=0,1,E126),IF(F126=0,1,F126))=1,0,PRODUCT(IF(C126=0,1,C126),IF(D126=0,1,D126),IF(E126=0,1,E126),IF(F126=0,1,F126))),2)</f>
        <v>0.92</v>
      </c>
      <c r="H126" s="131"/>
    </row>
    <row r="127" spans="1:8" x14ac:dyDescent="0.3">
      <c r="A127" s="132"/>
      <c r="B127" s="134" t="s">
        <v>632</v>
      </c>
      <c r="C127" s="135">
        <v>1</v>
      </c>
      <c r="D127" s="135">
        <f>6+6+6+6+1.5+1.5</f>
        <v>27</v>
      </c>
      <c r="E127" s="135">
        <v>0.2</v>
      </c>
      <c r="F127" s="135">
        <v>0.1</v>
      </c>
      <c r="G127" s="136">
        <f t="shared" ref="G127:G131" si="17">ROUND(IF(PRODUCT(IF(C127=0,1,C127),IF(D127=0,1,D127),IF(E127=0,1,E127),IF(F127=0,1,F127))=1,0,PRODUCT(IF(C127=0,1,C127),IF(D127=0,1,D127),IF(E127=0,1,E127),IF(F127=0,1,F127))),2)</f>
        <v>0.54</v>
      </c>
      <c r="H127" s="131"/>
    </row>
    <row r="128" spans="1:8" x14ac:dyDescent="0.3">
      <c r="A128" s="132"/>
      <c r="B128" s="134" t="s">
        <v>633</v>
      </c>
      <c r="C128" s="135">
        <v>3</v>
      </c>
      <c r="D128" s="135">
        <f>3+3+3+3+1.5+1.5</f>
        <v>15</v>
      </c>
      <c r="E128" s="135">
        <v>0.2</v>
      </c>
      <c r="F128" s="135">
        <v>0.1</v>
      </c>
      <c r="G128" s="136">
        <f t="shared" si="17"/>
        <v>0.9</v>
      </c>
      <c r="H128" s="131"/>
    </row>
    <row r="129" spans="1:8" x14ac:dyDescent="0.3">
      <c r="A129" s="132"/>
      <c r="B129" s="134" t="s">
        <v>634</v>
      </c>
      <c r="C129" s="135">
        <v>19</v>
      </c>
      <c r="D129" s="135">
        <f>3+3+3+1.1+1.1</f>
        <v>11.2</v>
      </c>
      <c r="E129" s="135">
        <v>0.2</v>
      </c>
      <c r="F129" s="135">
        <v>0.1</v>
      </c>
      <c r="G129" s="136">
        <f t="shared" si="17"/>
        <v>4.26</v>
      </c>
      <c r="H129" s="131"/>
    </row>
    <row r="130" spans="1:8" x14ac:dyDescent="0.3">
      <c r="A130" s="132"/>
      <c r="B130" s="134" t="s">
        <v>625</v>
      </c>
      <c r="C130" s="135">
        <v>1</v>
      </c>
      <c r="D130" s="135">
        <f>53.8+14.5+7.5</f>
        <v>75.8</v>
      </c>
      <c r="E130" s="135">
        <v>0.2</v>
      </c>
      <c r="F130" s="135">
        <v>0.1</v>
      </c>
      <c r="G130" s="136">
        <f t="shared" si="17"/>
        <v>1.52</v>
      </c>
      <c r="H130" s="131"/>
    </row>
    <row r="131" spans="1:8" x14ac:dyDescent="0.3">
      <c r="A131" s="132"/>
      <c r="B131" s="134"/>
      <c r="C131" s="137"/>
      <c r="D131" s="137"/>
      <c r="E131" s="137"/>
      <c r="F131" s="137"/>
      <c r="G131" s="136">
        <f t="shared" si="17"/>
        <v>0</v>
      </c>
      <c r="H131" s="131"/>
    </row>
    <row r="132" spans="1:8" x14ac:dyDescent="0.3">
      <c r="A132" s="132"/>
      <c r="C132" s="139"/>
      <c r="D132" s="212"/>
      <c r="E132" s="140" t="s">
        <v>616</v>
      </c>
      <c r="F132" s="141" t="s">
        <v>617</v>
      </c>
      <c r="G132" s="142">
        <f>SUM(G126:G131)</f>
        <v>8.1399999999999988</v>
      </c>
      <c r="H132" s="143" t="s">
        <v>39</v>
      </c>
    </row>
    <row r="133" spans="1:8" x14ac:dyDescent="0.3">
      <c r="A133" s="251" t="str">
        <f>BASE!A40</f>
        <v>3.5</v>
      </c>
      <c r="B133" s="252" t="str">
        <f>BASE!D40</f>
        <v xml:space="preserve">ELEVAÇÕES E REVESTIMENTOS </v>
      </c>
      <c r="H133" s="131"/>
    </row>
    <row r="134" spans="1:8" ht="22.9" customHeight="1" x14ac:dyDescent="0.3">
      <c r="A134" s="132" t="str">
        <f>BASE!A41</f>
        <v>3.5.1</v>
      </c>
      <c r="B134" s="294" t="str">
        <f>BASE!D41</f>
        <v>ALVENARIA EM TIJOLO CERAMICO FURADO 9X19X19CM, 1 VEZ (ESPESSURA 19 CM), ASSENTADO EM ARGAMASSA TRACO 1:4 (CIMENTO E AREIA MEDIA NAO PENEIRADA), PREPARO MANUAL, JUNTA1 CM</v>
      </c>
      <c r="C134" s="295"/>
      <c r="D134" s="296"/>
      <c r="H134" s="131"/>
    </row>
    <row r="135" spans="1:8" x14ac:dyDescent="0.3">
      <c r="A135" s="132"/>
      <c r="B135" s="133" t="s">
        <v>612</v>
      </c>
      <c r="C135" s="133" t="s">
        <v>265</v>
      </c>
      <c r="D135" s="133" t="s">
        <v>613</v>
      </c>
      <c r="E135" s="133" t="s">
        <v>614</v>
      </c>
      <c r="F135" s="133" t="s">
        <v>615</v>
      </c>
      <c r="G135" s="133" t="s">
        <v>616</v>
      </c>
      <c r="H135" s="131"/>
    </row>
    <row r="136" spans="1:8" x14ac:dyDescent="0.3">
      <c r="A136" s="132"/>
      <c r="B136" s="254" t="s">
        <v>635</v>
      </c>
      <c r="C136" s="135"/>
      <c r="D136" s="135"/>
      <c r="E136" s="135"/>
      <c r="F136" s="135"/>
      <c r="G136" s="136">
        <f>ROUND(IF(PRODUCT(IF(C136=0,1,C136),IF(D136=0,1,D136),IF(E136=0,1,E136),IF(F136=0,1,F136))=1,0,PRODUCT(IF(C136=0,1,C136),IF(D136=0,1,D136),IF(E136=0,1,E136),IF(F136=0,1,F136))),2)</f>
        <v>0</v>
      </c>
      <c r="H136" s="131"/>
    </row>
    <row r="137" spans="1:8" x14ac:dyDescent="0.3">
      <c r="A137" s="132"/>
      <c r="B137" s="134" t="s">
        <v>631</v>
      </c>
      <c r="C137" s="135">
        <v>4</v>
      </c>
      <c r="D137" s="135">
        <v>11.5</v>
      </c>
      <c r="E137" s="135"/>
      <c r="F137" s="135">
        <v>0.2</v>
      </c>
      <c r="G137" s="136">
        <f t="shared" ref="G137:G147" si="18">ROUND(IF(PRODUCT(IF(C137=0,1,C137),IF(D137=0,1,D137),IF(E137=0,1,E137),IF(F137=0,1,F137))=1,0,PRODUCT(IF(C137=0,1,C137),IF(D137=0,1,D137),IF(E137=0,1,E137),IF(F137=0,1,F137))),2)</f>
        <v>9.1999999999999993</v>
      </c>
      <c r="H137" s="131"/>
    </row>
    <row r="138" spans="1:8" x14ac:dyDescent="0.3">
      <c r="A138" s="132"/>
      <c r="B138" s="134" t="s">
        <v>632</v>
      </c>
      <c r="C138" s="135">
        <v>1</v>
      </c>
      <c r="D138" s="135">
        <f>6+6+6+6+1.5+1.5</f>
        <v>27</v>
      </c>
      <c r="E138" s="135"/>
      <c r="F138" s="135">
        <v>0.2</v>
      </c>
      <c r="G138" s="136">
        <f t="shared" si="18"/>
        <v>5.4</v>
      </c>
      <c r="H138" s="131"/>
    </row>
    <row r="139" spans="1:8" x14ac:dyDescent="0.3">
      <c r="A139" s="132"/>
      <c r="B139" s="134" t="s">
        <v>633</v>
      </c>
      <c r="C139" s="135">
        <v>3</v>
      </c>
      <c r="D139" s="135">
        <f>3+3+3+3+1.5+1.5</f>
        <v>15</v>
      </c>
      <c r="E139" s="135"/>
      <c r="F139" s="135">
        <v>0.2</v>
      </c>
      <c r="G139" s="136">
        <f t="shared" si="18"/>
        <v>9</v>
      </c>
      <c r="H139" s="131"/>
    </row>
    <row r="140" spans="1:8" x14ac:dyDescent="0.3">
      <c r="A140" s="132"/>
      <c r="B140" s="134" t="s">
        <v>634</v>
      </c>
      <c r="C140" s="135">
        <v>19</v>
      </c>
      <c r="D140" s="135">
        <f>3+3+3+1.1+1.1</f>
        <v>11.2</v>
      </c>
      <c r="E140" s="135"/>
      <c r="F140" s="135">
        <v>0.2</v>
      </c>
      <c r="G140" s="136">
        <f t="shared" si="18"/>
        <v>42.56</v>
      </c>
      <c r="H140" s="131"/>
    </row>
    <row r="141" spans="1:8" x14ac:dyDescent="0.3">
      <c r="A141" s="132"/>
      <c r="B141" s="134" t="s">
        <v>625</v>
      </c>
      <c r="C141" s="135">
        <v>1</v>
      </c>
      <c r="D141" s="135">
        <f>53.8+14.5+7.5</f>
        <v>75.8</v>
      </c>
      <c r="E141" s="135"/>
      <c r="F141" s="135">
        <v>0.2</v>
      </c>
      <c r="G141" s="136">
        <f t="shared" si="18"/>
        <v>15.16</v>
      </c>
      <c r="H141" s="131"/>
    </row>
    <row r="142" spans="1:8" x14ac:dyDescent="0.3">
      <c r="A142" s="132"/>
      <c r="B142" s="254" t="s">
        <v>636</v>
      </c>
      <c r="C142" s="135"/>
      <c r="D142" s="135"/>
      <c r="E142" s="135"/>
      <c r="F142" s="135"/>
      <c r="G142" s="136">
        <f t="shared" si="18"/>
        <v>0</v>
      </c>
      <c r="H142" s="131"/>
    </row>
    <row r="143" spans="1:8" x14ac:dyDescent="0.3">
      <c r="A143" s="132"/>
      <c r="B143" s="134" t="s">
        <v>631</v>
      </c>
      <c r="C143" s="135">
        <v>4</v>
      </c>
      <c r="D143" s="135">
        <v>11.5</v>
      </c>
      <c r="E143" s="135"/>
      <c r="F143" s="135">
        <f>(1.35+0.45)/2</f>
        <v>0.9</v>
      </c>
      <c r="G143" s="136">
        <f t="shared" si="18"/>
        <v>41.4</v>
      </c>
      <c r="H143" s="131"/>
    </row>
    <row r="144" spans="1:8" x14ac:dyDescent="0.3">
      <c r="A144" s="132"/>
      <c r="B144" s="134" t="s">
        <v>632</v>
      </c>
      <c r="C144" s="135">
        <v>1</v>
      </c>
      <c r="D144" s="135">
        <f>6+6+6+6+1.5+1.5</f>
        <v>27</v>
      </c>
      <c r="E144" s="135"/>
      <c r="F144" s="135">
        <v>0.45</v>
      </c>
      <c r="G144" s="136">
        <f t="shared" si="18"/>
        <v>12.15</v>
      </c>
      <c r="H144" s="131"/>
    </row>
    <row r="145" spans="1:8" x14ac:dyDescent="0.3">
      <c r="A145" s="132"/>
      <c r="B145" s="134" t="s">
        <v>633</v>
      </c>
      <c r="C145" s="135">
        <v>3</v>
      </c>
      <c r="D145" s="135">
        <f>3+3+3+3+1.5+1.5</f>
        <v>15</v>
      </c>
      <c r="E145" s="135"/>
      <c r="F145" s="135">
        <v>0.45</v>
      </c>
      <c r="G145" s="136">
        <f t="shared" si="18"/>
        <v>20.25</v>
      </c>
      <c r="H145" s="131"/>
    </row>
    <row r="146" spans="1:8" x14ac:dyDescent="0.3">
      <c r="A146" s="132"/>
      <c r="B146" s="134" t="s">
        <v>634</v>
      </c>
      <c r="C146" s="135">
        <v>19</v>
      </c>
      <c r="D146" s="135">
        <f>3+3+3+1.1+1.1</f>
        <v>11.2</v>
      </c>
      <c r="E146" s="135"/>
      <c r="F146" s="135">
        <v>0.45</v>
      </c>
      <c r="G146" s="136">
        <f t="shared" si="18"/>
        <v>95.76</v>
      </c>
      <c r="H146" s="131"/>
    </row>
    <row r="147" spans="1:8" x14ac:dyDescent="0.3">
      <c r="A147" s="132"/>
      <c r="B147" s="134" t="s">
        <v>625</v>
      </c>
      <c r="C147" s="135">
        <v>1</v>
      </c>
      <c r="D147" s="135">
        <f>53.8+14.5+7.5</f>
        <v>75.8</v>
      </c>
      <c r="E147" s="135"/>
      <c r="F147" s="135">
        <v>0.5</v>
      </c>
      <c r="G147" s="136">
        <f t="shared" si="18"/>
        <v>37.9</v>
      </c>
      <c r="H147" s="131"/>
    </row>
    <row r="148" spans="1:8" x14ac:dyDescent="0.3">
      <c r="A148" s="132"/>
      <c r="B148" s="134"/>
      <c r="C148" s="137"/>
      <c r="D148" s="137"/>
      <c r="E148" s="137"/>
      <c r="F148" s="137"/>
      <c r="G148" s="136">
        <f t="shared" ref="G148" si="19">ROUND(IF(PRODUCT(IF(C148=0,1,C148),IF(D148=0,1,D148),IF(E148=0,1,E148),IF(F148=0,1,F148))=1,0,PRODUCT(IF(C148=0,1,C148),IF(D148=0,1,D148),IF(E148=0,1,E148),IF(F148=0,1,F148))),2)</f>
        <v>0</v>
      </c>
      <c r="H148" s="131"/>
    </row>
    <row r="149" spans="1:8" x14ac:dyDescent="0.3">
      <c r="A149" s="132"/>
      <c r="C149" s="139"/>
      <c r="D149" s="212"/>
      <c r="E149" s="140" t="s">
        <v>616</v>
      </c>
      <c r="F149" s="141" t="s">
        <v>617</v>
      </c>
      <c r="G149" s="142">
        <f>SUM(G136:G148)</f>
        <v>288.77999999999997</v>
      </c>
      <c r="H149" s="143" t="s">
        <v>25</v>
      </c>
    </row>
    <row r="150" spans="1:8" ht="22.9" customHeight="1" x14ac:dyDescent="0.3">
      <c r="A150" s="132" t="str">
        <f>BASE!A42</f>
        <v>3.5.2</v>
      </c>
      <c r="B150" s="294" t="str">
        <f>BASE!D42</f>
        <v>CHAPISCO APLICADO EM ALVENARIAS E ESTRUTURAS DE CONCRETO INTERNAS, COM COLHER DE PEDREIRO. ARGAMASSA TRAÇO 1:3 COM PREPARO MANUAL. AF_06/2014</v>
      </c>
      <c r="C150" s="295"/>
      <c r="D150" s="296"/>
      <c r="H150" s="131"/>
    </row>
    <row r="151" spans="1:8" x14ac:dyDescent="0.3">
      <c r="A151" s="132"/>
      <c r="B151" s="133" t="s">
        <v>612</v>
      </c>
      <c r="C151" s="133" t="s">
        <v>265</v>
      </c>
      <c r="D151" s="133" t="s">
        <v>613</v>
      </c>
      <c r="E151" s="133" t="s">
        <v>614</v>
      </c>
      <c r="F151" s="133" t="s">
        <v>615</v>
      </c>
      <c r="G151" s="133" t="s">
        <v>616</v>
      </c>
      <c r="H151" s="131"/>
    </row>
    <row r="152" spans="1:8" x14ac:dyDescent="0.3">
      <c r="A152" s="132"/>
      <c r="B152" s="134" t="s">
        <v>631</v>
      </c>
      <c r="C152" s="135">
        <v>1</v>
      </c>
      <c r="D152" s="135">
        <f>11.5+11.5+1.8+1.8</f>
        <v>26.6</v>
      </c>
      <c r="E152" s="135"/>
      <c r="F152" s="135">
        <f>(1.35+0.45)/2</f>
        <v>0.9</v>
      </c>
      <c r="G152" s="136">
        <f>ROUND(IF(PRODUCT(IF(C152=0,1,C152),IF(D152=0,1,D152),IF(E152=0,1,E152),IF(F152=0,1,F152))=1,0,PRODUCT(IF(C152=0,1,C152),IF(D152=0,1,D152),IF(E152=0,1,E152),IF(F152=0,1,F152))),2)</f>
        <v>23.94</v>
      </c>
      <c r="H152" s="131"/>
    </row>
    <row r="153" spans="1:8" x14ac:dyDescent="0.3">
      <c r="A153" s="132"/>
      <c r="B153" s="134" t="s">
        <v>632</v>
      </c>
      <c r="C153" s="135">
        <v>1</v>
      </c>
      <c r="D153" s="135">
        <f>6+6+1.5+1.5</f>
        <v>15</v>
      </c>
      <c r="E153" s="135"/>
      <c r="F153" s="135">
        <v>0.45</v>
      </c>
      <c r="G153" s="136">
        <f t="shared" ref="G153:G158" si="20">ROUND(IF(PRODUCT(IF(C153=0,1,C153),IF(D153=0,1,D153),IF(E153=0,1,E153),IF(F153=0,1,F153))=1,0,PRODUCT(IF(C153=0,1,C153),IF(D153=0,1,D153),IF(E153=0,1,E153),IF(F153=0,1,F153))),2)</f>
        <v>6.75</v>
      </c>
      <c r="H153" s="131"/>
    </row>
    <row r="154" spans="1:8" x14ac:dyDescent="0.3">
      <c r="A154" s="132"/>
      <c r="B154" s="134" t="s">
        <v>633</v>
      </c>
      <c r="C154" s="135">
        <v>3</v>
      </c>
      <c r="D154" s="135">
        <f>3+3+1.5+1.5</f>
        <v>9</v>
      </c>
      <c r="E154" s="135"/>
      <c r="F154" s="135">
        <v>0.45</v>
      </c>
      <c r="G154" s="136">
        <f t="shared" si="20"/>
        <v>12.15</v>
      </c>
      <c r="H154" s="131"/>
    </row>
    <row r="155" spans="1:8" x14ac:dyDescent="0.3">
      <c r="A155" s="132"/>
      <c r="B155" s="134" t="s">
        <v>634</v>
      </c>
      <c r="C155" s="135">
        <v>19</v>
      </c>
      <c r="D155" s="135">
        <f>3+3+1.1+1.1</f>
        <v>8.1999999999999993</v>
      </c>
      <c r="E155" s="135"/>
      <c r="F155" s="135">
        <v>0.45</v>
      </c>
      <c r="G155" s="136">
        <f t="shared" si="20"/>
        <v>70.11</v>
      </c>
      <c r="H155" s="131"/>
    </row>
    <row r="156" spans="1:8" x14ac:dyDescent="0.3">
      <c r="A156" s="132"/>
      <c r="B156" s="134" t="s">
        <v>625</v>
      </c>
      <c r="C156" s="135">
        <v>1</v>
      </c>
      <c r="D156" s="135">
        <f>53.8+14.5+7.5</f>
        <v>75.8</v>
      </c>
      <c r="E156" s="135"/>
      <c r="F156" s="135">
        <v>0.5</v>
      </c>
      <c r="G156" s="136">
        <f t="shared" si="20"/>
        <v>37.9</v>
      </c>
      <c r="H156" s="131"/>
    </row>
    <row r="157" spans="1:8" x14ac:dyDescent="0.3">
      <c r="A157" s="132"/>
      <c r="B157" s="134" t="s">
        <v>637</v>
      </c>
      <c r="C157" s="135">
        <v>20</v>
      </c>
      <c r="D157" s="135">
        <v>3</v>
      </c>
      <c r="E157" s="135"/>
      <c r="F157" s="135">
        <v>1.5</v>
      </c>
      <c r="G157" s="136">
        <f t="shared" si="20"/>
        <v>90</v>
      </c>
      <c r="H157" s="131"/>
    </row>
    <row r="158" spans="1:8" x14ac:dyDescent="0.3">
      <c r="A158" s="132"/>
      <c r="B158" s="134"/>
      <c r="C158" s="137"/>
      <c r="D158" s="137"/>
      <c r="E158" s="137"/>
      <c r="F158" s="137"/>
      <c r="G158" s="136">
        <f t="shared" si="20"/>
        <v>0</v>
      </c>
      <c r="H158" s="131"/>
    </row>
    <row r="159" spans="1:8" x14ac:dyDescent="0.3">
      <c r="A159" s="132"/>
      <c r="C159" s="139"/>
      <c r="D159" s="212"/>
      <c r="E159" s="140" t="s">
        <v>616</v>
      </c>
      <c r="F159" s="141" t="s">
        <v>617</v>
      </c>
      <c r="G159" s="142">
        <f>SUM(G152:G158)</f>
        <v>240.85</v>
      </c>
      <c r="H159" s="143" t="s">
        <v>25</v>
      </c>
    </row>
    <row r="160" spans="1:8" ht="33" customHeight="1" x14ac:dyDescent="0.3">
      <c r="A160" s="132" t="str">
        <f>BASE!A43</f>
        <v>3.5.3</v>
      </c>
      <c r="B160" s="294" t="str">
        <f>BASE!D43</f>
        <v>EMBOÇO OU MASSA ÚNICA EM ARGAMASSA TRAÇO 1:2:8, PREPARO MECÂNICO COM BETONEIRA 400 L, APLICADA MANUALMENTE EM PANOS CEGOS DE FACHADA (SEM PRESENÇA DE VÃOS), ESPESSURA DE 25 MM. AF_06/2014</v>
      </c>
      <c r="C160" s="295"/>
      <c r="D160" s="296"/>
      <c r="H160" s="131"/>
    </row>
    <row r="161" spans="1:8" x14ac:dyDescent="0.3">
      <c r="A161" s="132"/>
      <c r="B161" s="133" t="s">
        <v>612</v>
      </c>
      <c r="C161" s="133" t="s">
        <v>265</v>
      </c>
      <c r="D161" s="133" t="s">
        <v>613</v>
      </c>
      <c r="E161" s="133" t="s">
        <v>614</v>
      </c>
      <c r="F161" s="133" t="s">
        <v>615</v>
      </c>
      <c r="G161" s="133" t="s">
        <v>616</v>
      </c>
      <c r="H161" s="131"/>
    </row>
    <row r="162" spans="1:8" x14ac:dyDescent="0.3">
      <c r="A162" s="132"/>
      <c r="B162" s="134" t="s">
        <v>631</v>
      </c>
      <c r="C162" s="135">
        <v>1</v>
      </c>
      <c r="D162" s="135">
        <f>11.5+11.5+1.8+1.8</f>
        <v>26.6</v>
      </c>
      <c r="E162" s="135"/>
      <c r="F162" s="135">
        <f>(1.35+0.45)/2</f>
        <v>0.9</v>
      </c>
      <c r="G162" s="136">
        <f>ROUND(IF(PRODUCT(IF(C162=0,1,C162),IF(D162=0,1,D162),IF(E162=0,1,E162),IF(F162=0,1,F162))=1,0,PRODUCT(IF(C162=0,1,C162),IF(D162=0,1,D162),IF(E162=0,1,E162),IF(F162=0,1,F162))),2)</f>
        <v>23.94</v>
      </c>
      <c r="H162" s="131"/>
    </row>
    <row r="163" spans="1:8" x14ac:dyDescent="0.3">
      <c r="A163" s="132"/>
      <c r="B163" s="134" t="s">
        <v>632</v>
      </c>
      <c r="C163" s="135">
        <v>1</v>
      </c>
      <c r="D163" s="135">
        <f>6+6+1.5+1.5</f>
        <v>15</v>
      </c>
      <c r="E163" s="135"/>
      <c r="F163" s="135">
        <v>0.45</v>
      </c>
      <c r="G163" s="136">
        <f t="shared" ref="G163:G168" si="21">ROUND(IF(PRODUCT(IF(C163=0,1,C163),IF(D163=0,1,D163),IF(E163=0,1,E163),IF(F163=0,1,F163))=1,0,PRODUCT(IF(C163=0,1,C163),IF(D163=0,1,D163),IF(E163=0,1,E163),IF(F163=0,1,F163))),2)</f>
        <v>6.75</v>
      </c>
      <c r="H163" s="131"/>
    </row>
    <row r="164" spans="1:8" x14ac:dyDescent="0.3">
      <c r="A164" s="132"/>
      <c r="B164" s="134" t="s">
        <v>633</v>
      </c>
      <c r="C164" s="135">
        <v>3</v>
      </c>
      <c r="D164" s="135">
        <f>3+3+1.5+1.5</f>
        <v>9</v>
      </c>
      <c r="E164" s="135"/>
      <c r="F164" s="135">
        <v>0.45</v>
      </c>
      <c r="G164" s="136">
        <f t="shared" si="21"/>
        <v>12.15</v>
      </c>
      <c r="H164" s="131"/>
    </row>
    <row r="165" spans="1:8" x14ac:dyDescent="0.3">
      <c r="A165" s="132"/>
      <c r="B165" s="134" t="s">
        <v>634</v>
      </c>
      <c r="C165" s="135">
        <v>19</v>
      </c>
      <c r="D165" s="135">
        <f>3+3+1.1+1.1</f>
        <v>8.1999999999999993</v>
      </c>
      <c r="E165" s="135"/>
      <c r="F165" s="135">
        <v>0.45</v>
      </c>
      <c r="G165" s="136">
        <f t="shared" si="21"/>
        <v>70.11</v>
      </c>
      <c r="H165" s="131"/>
    </row>
    <row r="166" spans="1:8" x14ac:dyDescent="0.3">
      <c r="A166" s="132"/>
      <c r="B166" s="134" t="s">
        <v>625</v>
      </c>
      <c r="C166" s="135">
        <v>1</v>
      </c>
      <c r="D166" s="135">
        <f>53.8+14.5+7.5</f>
        <v>75.8</v>
      </c>
      <c r="E166" s="135"/>
      <c r="F166" s="135">
        <v>0.5</v>
      </c>
      <c r="G166" s="136">
        <f t="shared" si="21"/>
        <v>37.9</v>
      </c>
      <c r="H166" s="131"/>
    </row>
    <row r="167" spans="1:8" x14ac:dyDescent="0.3">
      <c r="A167" s="132"/>
      <c r="B167" s="134" t="s">
        <v>637</v>
      </c>
      <c r="C167" s="135">
        <v>20</v>
      </c>
      <c r="D167" s="135">
        <v>3</v>
      </c>
      <c r="E167" s="135"/>
      <c r="F167" s="135">
        <v>1.5</v>
      </c>
      <c r="G167" s="136">
        <f t="shared" si="21"/>
        <v>90</v>
      </c>
      <c r="H167" s="131"/>
    </row>
    <row r="168" spans="1:8" x14ac:dyDescent="0.3">
      <c r="A168" s="132"/>
      <c r="B168" s="134"/>
      <c r="C168" s="137"/>
      <c r="D168" s="137"/>
      <c r="E168" s="137"/>
      <c r="F168" s="137"/>
      <c r="G168" s="136">
        <f t="shared" si="21"/>
        <v>0</v>
      </c>
      <c r="H168" s="131"/>
    </row>
    <row r="169" spans="1:8" x14ac:dyDescent="0.3">
      <c r="A169" s="132"/>
      <c r="C169" s="139"/>
      <c r="D169" s="212"/>
      <c r="E169" s="140" t="s">
        <v>616</v>
      </c>
      <c r="F169" s="141" t="s">
        <v>617</v>
      </c>
      <c r="G169" s="142">
        <f>SUM(G162:G168)</f>
        <v>240.85</v>
      </c>
      <c r="H169" s="143" t="s">
        <v>25</v>
      </c>
    </row>
    <row r="170" spans="1:8" x14ac:dyDescent="0.3">
      <c r="A170" s="249" t="str">
        <f>BASE!A44</f>
        <v>4.0</v>
      </c>
      <c r="B170" s="250" t="str">
        <f>BASE!D44</f>
        <v xml:space="preserve">PAVIMENTAÇÃO </v>
      </c>
      <c r="H170" s="131"/>
    </row>
    <row r="171" spans="1:8" x14ac:dyDescent="0.3">
      <c r="A171" s="132" t="str">
        <f>BASE!A45</f>
        <v>4.1</v>
      </c>
      <c r="B171" s="294" t="str">
        <f>BASE!D45</f>
        <v xml:space="preserve">REGULARIZAÇÃO MANUAL E COMPACTAÇÃO COM PLACA VIBRATÓRIA	</v>
      </c>
      <c r="C171" s="295"/>
      <c r="D171" s="296"/>
      <c r="H171" s="131"/>
    </row>
    <row r="172" spans="1:8" x14ac:dyDescent="0.3">
      <c r="A172" s="132"/>
      <c r="B172" s="133" t="s">
        <v>612</v>
      </c>
      <c r="C172" s="133" t="s">
        <v>618</v>
      </c>
      <c r="D172" s="133" t="s">
        <v>613</v>
      </c>
      <c r="E172" s="133" t="s">
        <v>614</v>
      </c>
      <c r="F172" s="133" t="s">
        <v>615</v>
      </c>
      <c r="G172" s="133" t="s">
        <v>616</v>
      </c>
      <c r="H172" s="131"/>
    </row>
    <row r="173" spans="1:8" x14ac:dyDescent="0.3">
      <c r="A173" s="132"/>
      <c r="B173" s="134" t="s">
        <v>638</v>
      </c>
      <c r="C173" s="135">
        <v>1918.1</v>
      </c>
      <c r="D173" s="135"/>
      <c r="E173" s="135"/>
      <c r="F173" s="135"/>
      <c r="G173" s="136">
        <f>ROUND(IF(PRODUCT(IF(C173=0,1,C173),IF(D173=0,1,D173),IF(E173=0,1,E173),IF(F173=0,1,F173))=1,0,PRODUCT(IF(C173=0,1,C173),IF(D173=0,1,D173),IF(E173=0,1,E173),IF(F173=0,1,F173))),2)</f>
        <v>1918.1</v>
      </c>
      <c r="H173" s="131"/>
    </row>
    <row r="174" spans="1:8" x14ac:dyDescent="0.3">
      <c r="A174" s="132"/>
      <c r="B174" s="134" t="s">
        <v>639</v>
      </c>
      <c r="C174" s="135">
        <v>998.25</v>
      </c>
      <c r="D174" s="135"/>
      <c r="E174" s="135"/>
      <c r="F174" s="135"/>
      <c r="G174" s="136">
        <f t="shared" ref="G174:G178" si="22">ROUND(IF(PRODUCT(IF(C174=0,1,C174),IF(D174=0,1,D174),IF(E174=0,1,E174),IF(F174=0,1,F174))=1,0,PRODUCT(IF(C174=0,1,C174),IF(D174=0,1,D174),IF(E174=0,1,E174),IF(F174=0,1,F174))),2)</f>
        <v>998.25</v>
      </c>
      <c r="H174" s="131"/>
    </row>
    <row r="175" spans="1:8" x14ac:dyDescent="0.3">
      <c r="A175" s="132"/>
      <c r="B175" s="134" t="s">
        <v>640</v>
      </c>
      <c r="C175" s="135">
        <v>130.88</v>
      </c>
      <c r="D175" s="135"/>
      <c r="E175" s="135"/>
      <c r="F175" s="135"/>
      <c r="G175" s="136">
        <f t="shared" si="22"/>
        <v>130.88</v>
      </c>
      <c r="H175" s="131"/>
    </row>
    <row r="176" spans="1:8" x14ac:dyDescent="0.3">
      <c r="A176" s="132"/>
      <c r="B176" s="134" t="s">
        <v>641</v>
      </c>
      <c r="C176" s="135">
        <v>1261.8499999999999</v>
      </c>
      <c r="D176" s="135"/>
      <c r="E176" s="135"/>
      <c r="F176" s="135"/>
      <c r="G176" s="136">
        <f t="shared" si="22"/>
        <v>1261.8499999999999</v>
      </c>
      <c r="H176" s="131"/>
    </row>
    <row r="177" spans="1:8" x14ac:dyDescent="0.3">
      <c r="A177" s="132"/>
      <c r="B177" s="134" t="s">
        <v>622</v>
      </c>
      <c r="C177" s="135"/>
      <c r="D177" s="135">
        <f>53.8+14.5+7.5</f>
        <v>75.8</v>
      </c>
      <c r="E177" s="135">
        <v>2</v>
      </c>
      <c r="F177" s="135"/>
      <c r="G177" s="136">
        <f t="shared" si="22"/>
        <v>151.6</v>
      </c>
      <c r="H177" s="131"/>
    </row>
    <row r="178" spans="1:8" x14ac:dyDescent="0.3">
      <c r="A178" s="132"/>
      <c r="B178" s="134"/>
      <c r="C178" s="137"/>
      <c r="D178" s="137"/>
      <c r="E178" s="137"/>
      <c r="F178" s="137"/>
      <c r="G178" s="136">
        <f t="shared" si="22"/>
        <v>0</v>
      </c>
      <c r="H178" s="131"/>
    </row>
    <row r="179" spans="1:8" x14ac:dyDescent="0.3">
      <c r="A179" s="132"/>
      <c r="C179" s="139"/>
      <c r="D179" s="212"/>
      <c r="E179" s="140" t="s">
        <v>616</v>
      </c>
      <c r="F179" s="141" t="s">
        <v>617</v>
      </c>
      <c r="G179" s="142">
        <f>SUM(G173:G178)</f>
        <v>4460.68</v>
      </c>
      <c r="H179" s="143" t="s">
        <v>25</v>
      </c>
    </row>
    <row r="180" spans="1:8" ht="33" customHeight="1" x14ac:dyDescent="0.3">
      <c r="A180" s="132" t="str">
        <f>BASE!A46</f>
        <v>4.2</v>
      </c>
      <c r="B180" s="294" t="str">
        <f>BASE!D46</f>
        <v>ASSENTAMENTO DE GUIA (MEIO-FIO) EM TRECHO RETO, CONFECCIONADA EM CONCRETO PRÉ-FABRICADO, DIMENSÕES 100X15X13X30 CM (COMPRIMENTO X BASE INFERIOR X BASE SUPERIOR X ALTURA), PARA VIAS URBANAS (USO VIÁRIO). AF_06/2016</v>
      </c>
      <c r="C180" s="295"/>
      <c r="D180" s="296"/>
      <c r="H180" s="131"/>
    </row>
    <row r="181" spans="1:8" x14ac:dyDescent="0.3">
      <c r="A181" s="132"/>
      <c r="B181" s="133" t="s">
        <v>612</v>
      </c>
      <c r="C181" s="133" t="s">
        <v>265</v>
      </c>
      <c r="D181" s="133" t="s">
        <v>613</v>
      </c>
      <c r="E181" s="133" t="s">
        <v>614</v>
      </c>
      <c r="F181" s="133" t="s">
        <v>615</v>
      </c>
      <c r="G181" s="133" t="s">
        <v>616</v>
      </c>
      <c r="H181" s="131"/>
    </row>
    <row r="182" spans="1:8" x14ac:dyDescent="0.3">
      <c r="A182" s="132"/>
      <c r="B182" s="134" t="s">
        <v>622</v>
      </c>
      <c r="C182" s="135"/>
      <c r="D182" s="135">
        <f>53.8+14.5+7.5</f>
        <v>75.8</v>
      </c>
      <c r="E182" s="135"/>
      <c r="F182" s="135"/>
      <c r="G182" s="136">
        <f>ROUND(IF(PRODUCT(IF(C182=0,1,C182),IF(D182=0,1,D182),IF(E182=0,1,E182),IF(F182=0,1,F182))=1,0,PRODUCT(IF(C182=0,1,C182),IF(D182=0,1,D182),IF(E182=0,1,E182),IF(F182=0,1,F182))),2)</f>
        <v>75.8</v>
      </c>
      <c r="H182" s="131"/>
    </row>
    <row r="183" spans="1:8" x14ac:dyDescent="0.3">
      <c r="A183" s="132"/>
      <c r="B183" s="134"/>
      <c r="C183" s="137"/>
      <c r="D183" s="137"/>
      <c r="E183" s="137"/>
      <c r="F183" s="137"/>
      <c r="G183" s="136">
        <f t="shared" ref="G183" si="23">ROUND(IF(PRODUCT(IF(C183=0,1,C183),IF(D183=0,1,D183),IF(E183=0,1,E183),IF(F183=0,1,F183))=1,0,PRODUCT(IF(C183=0,1,C183),IF(D183=0,1,D183),IF(E183=0,1,E183),IF(F183=0,1,F183))),2)</f>
        <v>0</v>
      </c>
      <c r="H183" s="131"/>
    </row>
    <row r="184" spans="1:8" x14ac:dyDescent="0.3">
      <c r="A184" s="132"/>
      <c r="C184" s="139"/>
      <c r="D184" s="212"/>
      <c r="E184" s="140" t="s">
        <v>616</v>
      </c>
      <c r="F184" s="141" t="s">
        <v>617</v>
      </c>
      <c r="G184" s="142">
        <f>SUM(G182:G183)</f>
        <v>75.8</v>
      </c>
      <c r="H184" s="143" t="s">
        <v>50</v>
      </c>
    </row>
    <row r="185" spans="1:8" ht="22.9" customHeight="1" x14ac:dyDescent="0.3">
      <c r="A185" s="132" t="str">
        <f>BASE!A47</f>
        <v>4.3</v>
      </c>
      <c r="B185" s="294" t="str">
        <f>BASE!D47</f>
        <v>MEIO-FIO DE CONCRETO SIMPLES, REJUNTADO COM ARGAMASSA DE CIMENTO E AREIA NO TRAÇO 1:3 (JARDIM)</v>
      </c>
      <c r="C185" s="295"/>
      <c r="D185" s="296"/>
      <c r="H185" s="131"/>
    </row>
    <row r="186" spans="1:8" x14ac:dyDescent="0.3">
      <c r="A186" s="132"/>
      <c r="B186" s="133" t="s">
        <v>612</v>
      </c>
      <c r="C186" s="133" t="s">
        <v>623</v>
      </c>
      <c r="D186" s="133" t="s">
        <v>613</v>
      </c>
      <c r="E186" s="133" t="s">
        <v>614</v>
      </c>
      <c r="F186" s="133" t="s">
        <v>615</v>
      </c>
      <c r="G186" s="133" t="s">
        <v>616</v>
      </c>
      <c r="H186" s="131"/>
    </row>
    <row r="187" spans="1:8" x14ac:dyDescent="0.3">
      <c r="A187" s="132"/>
      <c r="B187" s="134" t="s">
        <v>620</v>
      </c>
      <c r="C187" s="135">
        <v>2</v>
      </c>
      <c r="D187" s="135">
        <v>630.5</v>
      </c>
      <c r="E187" s="135"/>
      <c r="F187" s="135"/>
      <c r="G187" s="136">
        <f>ROUND(IF(PRODUCT(IF(C187=0,1,C187),IF(D187=0,1,D187),IF(E187=0,1,E187),IF(F187=0,1,F187))=1,0,PRODUCT(IF(C187=0,1,C187),IF(D187=0,1,D187),IF(E187=0,1,E187),IF(F187=0,1,F187))),2)</f>
        <v>1261</v>
      </c>
      <c r="H187" s="131"/>
    </row>
    <row r="188" spans="1:8" x14ac:dyDescent="0.3">
      <c r="A188" s="132"/>
      <c r="B188" s="134"/>
      <c r="C188" s="135"/>
      <c r="D188" s="135">
        <v>30.03</v>
      </c>
      <c r="E188" s="135"/>
      <c r="F188" s="135"/>
      <c r="G188" s="136">
        <f t="shared" ref="G188:G238" si="24">ROUND(IF(PRODUCT(IF(C188=0,1,C188),IF(D188=0,1,D188),IF(E188=0,1,E188),IF(F188=0,1,F188))=1,0,PRODUCT(IF(C188=0,1,C188),IF(D188=0,1,D188),IF(E188=0,1,E188),IF(F188=0,1,F188))),2)</f>
        <v>30.03</v>
      </c>
      <c r="H188" s="131"/>
    </row>
    <row r="189" spans="1:8" x14ac:dyDescent="0.3">
      <c r="A189" s="132"/>
      <c r="B189" s="134"/>
      <c r="C189" s="135"/>
      <c r="D189" s="135">
        <v>20.98</v>
      </c>
      <c r="E189" s="135"/>
      <c r="F189" s="135"/>
      <c r="G189" s="136">
        <f t="shared" si="24"/>
        <v>20.98</v>
      </c>
      <c r="H189" s="131"/>
    </row>
    <row r="190" spans="1:8" x14ac:dyDescent="0.3">
      <c r="A190" s="132"/>
      <c r="B190" s="134"/>
      <c r="C190" s="135"/>
      <c r="D190" s="135">
        <v>9.83</v>
      </c>
      <c r="E190" s="135"/>
      <c r="F190" s="135"/>
      <c r="G190" s="136">
        <f t="shared" si="24"/>
        <v>9.83</v>
      </c>
      <c r="H190" s="131"/>
    </row>
    <row r="191" spans="1:8" x14ac:dyDescent="0.3">
      <c r="A191" s="132"/>
      <c r="B191" s="134"/>
      <c r="C191" s="135"/>
      <c r="D191" s="135">
        <v>3.75</v>
      </c>
      <c r="E191" s="135"/>
      <c r="F191" s="135"/>
      <c r="G191" s="136">
        <f t="shared" si="24"/>
        <v>3.75</v>
      </c>
      <c r="H191" s="131"/>
    </row>
    <row r="192" spans="1:8" x14ac:dyDescent="0.3">
      <c r="A192" s="132"/>
      <c r="B192" s="134"/>
      <c r="C192" s="135"/>
      <c r="D192" s="135">
        <v>3.52</v>
      </c>
      <c r="E192" s="135"/>
      <c r="F192" s="135"/>
      <c r="G192" s="136">
        <f t="shared" si="24"/>
        <v>3.52</v>
      </c>
      <c r="H192" s="131"/>
    </row>
    <row r="193" spans="1:8" x14ac:dyDescent="0.3">
      <c r="A193" s="132"/>
      <c r="B193" s="134"/>
      <c r="C193" s="135"/>
      <c r="D193" s="135">
        <v>40.21</v>
      </c>
      <c r="E193" s="135"/>
      <c r="F193" s="135"/>
      <c r="G193" s="136">
        <f t="shared" si="24"/>
        <v>40.21</v>
      </c>
      <c r="H193" s="131"/>
    </row>
    <row r="194" spans="1:8" x14ac:dyDescent="0.3">
      <c r="A194" s="132"/>
      <c r="B194" s="134"/>
      <c r="C194" s="135"/>
      <c r="D194" s="135">
        <v>1.8</v>
      </c>
      <c r="E194" s="135"/>
      <c r="F194" s="135"/>
      <c r="G194" s="136">
        <f t="shared" si="24"/>
        <v>1.8</v>
      </c>
      <c r="H194" s="131"/>
    </row>
    <row r="195" spans="1:8" x14ac:dyDescent="0.3">
      <c r="A195" s="132"/>
      <c r="B195" s="134"/>
      <c r="C195" s="135"/>
      <c r="D195" s="135">
        <v>22.77</v>
      </c>
      <c r="E195" s="135"/>
      <c r="F195" s="135"/>
      <c r="G195" s="136">
        <f t="shared" si="24"/>
        <v>22.77</v>
      </c>
      <c r="H195" s="131"/>
    </row>
    <row r="196" spans="1:8" x14ac:dyDescent="0.3">
      <c r="A196" s="132"/>
      <c r="B196" s="134"/>
      <c r="C196" s="135"/>
      <c r="D196" s="135">
        <v>12.78</v>
      </c>
      <c r="E196" s="135"/>
      <c r="F196" s="135"/>
      <c r="G196" s="136">
        <f t="shared" si="24"/>
        <v>12.78</v>
      </c>
      <c r="H196" s="131"/>
    </row>
    <row r="197" spans="1:8" x14ac:dyDescent="0.3">
      <c r="A197" s="132"/>
      <c r="B197" s="134"/>
      <c r="C197" s="135"/>
      <c r="D197" s="135">
        <v>11.38</v>
      </c>
      <c r="E197" s="135"/>
      <c r="F197" s="135"/>
      <c r="G197" s="136">
        <f t="shared" si="24"/>
        <v>11.38</v>
      </c>
      <c r="H197" s="131"/>
    </row>
    <row r="198" spans="1:8" x14ac:dyDescent="0.3">
      <c r="A198" s="132"/>
      <c r="B198" s="134"/>
      <c r="C198" s="135"/>
      <c r="D198" s="135">
        <v>6.02</v>
      </c>
      <c r="E198" s="135"/>
      <c r="F198" s="135"/>
      <c r="G198" s="136">
        <f t="shared" si="24"/>
        <v>6.02</v>
      </c>
      <c r="H198" s="131"/>
    </row>
    <row r="199" spans="1:8" x14ac:dyDescent="0.3">
      <c r="A199" s="132"/>
      <c r="B199" s="134"/>
      <c r="C199" s="135"/>
      <c r="D199" s="135">
        <v>5.07</v>
      </c>
      <c r="E199" s="135"/>
      <c r="F199" s="135"/>
      <c r="G199" s="136">
        <f t="shared" si="24"/>
        <v>5.07</v>
      </c>
      <c r="H199" s="131"/>
    </row>
    <row r="200" spans="1:8" x14ac:dyDescent="0.3">
      <c r="A200" s="132"/>
      <c r="B200" s="134"/>
      <c r="C200" s="135"/>
      <c r="D200" s="135">
        <v>12.66</v>
      </c>
      <c r="E200" s="135"/>
      <c r="F200" s="135"/>
      <c r="G200" s="136">
        <f t="shared" si="24"/>
        <v>12.66</v>
      </c>
      <c r="H200" s="131"/>
    </row>
    <row r="201" spans="1:8" x14ac:dyDescent="0.3">
      <c r="A201" s="132"/>
      <c r="B201" s="134"/>
      <c r="C201" s="135"/>
      <c r="D201" s="135">
        <v>12.13</v>
      </c>
      <c r="E201" s="135"/>
      <c r="F201" s="135"/>
      <c r="G201" s="136">
        <f t="shared" si="24"/>
        <v>12.13</v>
      </c>
      <c r="H201" s="131"/>
    </row>
    <row r="202" spans="1:8" x14ac:dyDescent="0.3">
      <c r="A202" s="132"/>
      <c r="B202" s="134"/>
      <c r="C202" s="135"/>
      <c r="D202" s="135">
        <v>3.47</v>
      </c>
      <c r="E202" s="135"/>
      <c r="F202" s="135"/>
      <c r="G202" s="136">
        <f t="shared" si="24"/>
        <v>3.47</v>
      </c>
      <c r="H202" s="131"/>
    </row>
    <row r="203" spans="1:8" x14ac:dyDescent="0.3">
      <c r="A203" s="132"/>
      <c r="B203" s="134"/>
      <c r="C203" s="135"/>
      <c r="D203" s="135">
        <v>5.63</v>
      </c>
      <c r="E203" s="135"/>
      <c r="F203" s="135"/>
      <c r="G203" s="136">
        <f t="shared" si="24"/>
        <v>5.63</v>
      </c>
      <c r="H203" s="131"/>
    </row>
    <row r="204" spans="1:8" x14ac:dyDescent="0.3">
      <c r="A204" s="132"/>
      <c r="B204" s="134"/>
      <c r="C204" s="135"/>
      <c r="D204" s="135">
        <v>6.85</v>
      </c>
      <c r="E204" s="135"/>
      <c r="F204" s="135"/>
      <c r="G204" s="136">
        <f t="shared" si="24"/>
        <v>6.85</v>
      </c>
      <c r="H204" s="131"/>
    </row>
    <row r="205" spans="1:8" x14ac:dyDescent="0.3">
      <c r="A205" s="132"/>
      <c r="B205" s="134"/>
      <c r="C205" s="135"/>
      <c r="D205" s="135">
        <v>6.15</v>
      </c>
      <c r="E205" s="135"/>
      <c r="F205" s="135"/>
      <c r="G205" s="136">
        <f t="shared" si="24"/>
        <v>6.15</v>
      </c>
      <c r="H205" s="131"/>
    </row>
    <row r="206" spans="1:8" x14ac:dyDescent="0.3">
      <c r="A206" s="132"/>
      <c r="B206" s="134"/>
      <c r="C206" s="135"/>
      <c r="D206" s="135">
        <v>8.7899999999999991</v>
      </c>
      <c r="E206" s="135"/>
      <c r="F206" s="135"/>
      <c r="G206" s="136">
        <f t="shared" si="24"/>
        <v>8.7899999999999991</v>
      </c>
      <c r="H206" s="131"/>
    </row>
    <row r="207" spans="1:8" x14ac:dyDescent="0.3">
      <c r="A207" s="132"/>
      <c r="B207" s="134"/>
      <c r="C207" s="135"/>
      <c r="D207" s="135">
        <v>9.9</v>
      </c>
      <c r="E207" s="135"/>
      <c r="F207" s="135"/>
      <c r="G207" s="136">
        <f t="shared" si="24"/>
        <v>9.9</v>
      </c>
      <c r="H207" s="131"/>
    </row>
    <row r="208" spans="1:8" x14ac:dyDescent="0.3">
      <c r="A208" s="132"/>
      <c r="B208" s="134"/>
      <c r="C208" s="135"/>
      <c r="D208" s="135">
        <v>2.79</v>
      </c>
      <c r="E208" s="135"/>
      <c r="F208" s="135"/>
      <c r="G208" s="136">
        <f t="shared" si="24"/>
        <v>2.79</v>
      </c>
      <c r="H208" s="131"/>
    </row>
    <row r="209" spans="1:8" x14ac:dyDescent="0.3">
      <c r="A209" s="132"/>
      <c r="B209" s="134"/>
      <c r="C209" s="135"/>
      <c r="D209" s="135">
        <v>8.15</v>
      </c>
      <c r="E209" s="135"/>
      <c r="F209" s="135"/>
      <c r="G209" s="136">
        <f t="shared" si="24"/>
        <v>8.15</v>
      </c>
      <c r="H209" s="131"/>
    </row>
    <row r="210" spans="1:8" x14ac:dyDescent="0.3">
      <c r="A210" s="132"/>
      <c r="B210" s="134"/>
      <c r="C210" s="135"/>
      <c r="D210" s="135">
        <v>6.4</v>
      </c>
      <c r="E210" s="135"/>
      <c r="F210" s="135"/>
      <c r="G210" s="136">
        <f t="shared" si="24"/>
        <v>6.4</v>
      </c>
      <c r="H210" s="131"/>
    </row>
    <row r="211" spans="1:8" x14ac:dyDescent="0.3">
      <c r="A211" s="132"/>
      <c r="B211" s="134"/>
      <c r="C211" s="135"/>
      <c r="D211" s="135">
        <v>40.69</v>
      </c>
      <c r="E211" s="135"/>
      <c r="F211" s="135"/>
      <c r="G211" s="136">
        <f t="shared" si="24"/>
        <v>40.69</v>
      </c>
      <c r="H211" s="131"/>
    </row>
    <row r="212" spans="1:8" x14ac:dyDescent="0.3">
      <c r="A212" s="132"/>
      <c r="B212" s="134"/>
      <c r="C212" s="135"/>
      <c r="D212" s="135">
        <v>40.74</v>
      </c>
      <c r="E212" s="135"/>
      <c r="F212" s="135"/>
      <c r="G212" s="136">
        <f t="shared" si="24"/>
        <v>40.74</v>
      </c>
      <c r="H212" s="131"/>
    </row>
    <row r="213" spans="1:8" x14ac:dyDescent="0.3">
      <c r="A213" s="132"/>
      <c r="B213" s="134"/>
      <c r="C213" s="135"/>
      <c r="D213" s="135">
        <v>3.34</v>
      </c>
      <c r="E213" s="135"/>
      <c r="F213" s="135"/>
      <c r="G213" s="136">
        <f t="shared" si="24"/>
        <v>3.34</v>
      </c>
      <c r="H213" s="131"/>
    </row>
    <row r="214" spans="1:8" x14ac:dyDescent="0.3">
      <c r="A214" s="132"/>
      <c r="B214" s="134"/>
      <c r="C214" s="135"/>
      <c r="D214" s="135">
        <v>2.79</v>
      </c>
      <c r="E214" s="135"/>
      <c r="F214" s="135"/>
      <c r="G214" s="136">
        <f t="shared" si="24"/>
        <v>2.79</v>
      </c>
      <c r="H214" s="131"/>
    </row>
    <row r="215" spans="1:8" x14ac:dyDescent="0.3">
      <c r="A215" s="132"/>
      <c r="B215" s="134"/>
      <c r="C215" s="135"/>
      <c r="D215" s="135">
        <v>5.59</v>
      </c>
      <c r="E215" s="135"/>
      <c r="F215" s="135"/>
      <c r="G215" s="136">
        <f t="shared" si="24"/>
        <v>5.59</v>
      </c>
      <c r="H215" s="131"/>
    </row>
    <row r="216" spans="1:8" x14ac:dyDescent="0.3">
      <c r="A216" s="132"/>
      <c r="B216" s="134"/>
      <c r="C216" s="135"/>
      <c r="D216" s="135">
        <v>9.0299999999999994</v>
      </c>
      <c r="E216" s="135"/>
      <c r="F216" s="135"/>
      <c r="G216" s="136">
        <f t="shared" si="24"/>
        <v>9.0299999999999994</v>
      </c>
      <c r="H216" s="131"/>
    </row>
    <row r="217" spans="1:8" x14ac:dyDescent="0.3">
      <c r="A217" s="132"/>
      <c r="B217" s="134"/>
      <c r="C217" s="135"/>
      <c r="D217" s="135">
        <v>2.79</v>
      </c>
      <c r="E217" s="135"/>
      <c r="F217" s="135"/>
      <c r="G217" s="136">
        <f t="shared" si="24"/>
        <v>2.79</v>
      </c>
      <c r="H217" s="131"/>
    </row>
    <row r="218" spans="1:8" x14ac:dyDescent="0.3">
      <c r="A218" s="132"/>
      <c r="B218" s="134"/>
      <c r="C218" s="135"/>
      <c r="D218" s="135">
        <v>2.79</v>
      </c>
      <c r="E218" s="135"/>
      <c r="F218" s="135"/>
      <c r="G218" s="136">
        <f t="shared" si="24"/>
        <v>2.79</v>
      </c>
      <c r="H218" s="131"/>
    </row>
    <row r="219" spans="1:8" x14ac:dyDescent="0.3">
      <c r="A219" s="132"/>
      <c r="B219" s="134"/>
      <c r="C219" s="135"/>
      <c r="D219" s="135">
        <v>4.43</v>
      </c>
      <c r="E219" s="135"/>
      <c r="F219" s="135"/>
      <c r="G219" s="136">
        <f t="shared" si="24"/>
        <v>4.43</v>
      </c>
      <c r="H219" s="131"/>
    </row>
    <row r="220" spans="1:8" x14ac:dyDescent="0.3">
      <c r="A220" s="132"/>
      <c r="B220" s="134"/>
      <c r="C220" s="135"/>
      <c r="D220" s="135">
        <v>2.83</v>
      </c>
      <c r="E220" s="135"/>
      <c r="F220" s="135"/>
      <c r="G220" s="136">
        <f t="shared" si="24"/>
        <v>2.83</v>
      </c>
      <c r="H220" s="131"/>
    </row>
    <row r="221" spans="1:8" x14ac:dyDescent="0.3">
      <c r="A221" s="132"/>
      <c r="B221" s="134"/>
      <c r="C221" s="135"/>
      <c r="D221" s="135">
        <v>3.44</v>
      </c>
      <c r="E221" s="135"/>
      <c r="F221" s="135"/>
      <c r="G221" s="136">
        <f t="shared" si="24"/>
        <v>3.44</v>
      </c>
      <c r="H221" s="131"/>
    </row>
    <row r="222" spans="1:8" x14ac:dyDescent="0.3">
      <c r="A222" s="132"/>
      <c r="B222" s="134"/>
      <c r="C222" s="135"/>
      <c r="D222" s="135">
        <v>4</v>
      </c>
      <c r="E222" s="135"/>
      <c r="F222" s="135"/>
      <c r="G222" s="136">
        <f t="shared" si="24"/>
        <v>4</v>
      </c>
      <c r="H222" s="131"/>
    </row>
    <row r="223" spans="1:8" x14ac:dyDescent="0.3">
      <c r="A223" s="132"/>
      <c r="B223" s="134"/>
      <c r="C223" s="135"/>
      <c r="D223" s="135">
        <v>8.25</v>
      </c>
      <c r="E223" s="135"/>
      <c r="F223" s="135"/>
      <c r="G223" s="136">
        <f t="shared" si="24"/>
        <v>8.25</v>
      </c>
      <c r="H223" s="131"/>
    </row>
    <row r="224" spans="1:8" x14ac:dyDescent="0.3">
      <c r="A224" s="132"/>
      <c r="B224" s="134"/>
      <c r="C224" s="135"/>
      <c r="D224" s="135">
        <v>10.81</v>
      </c>
      <c r="E224" s="135"/>
      <c r="F224" s="135"/>
      <c r="G224" s="136">
        <f t="shared" si="24"/>
        <v>10.81</v>
      </c>
      <c r="H224" s="131"/>
    </row>
    <row r="225" spans="1:8" x14ac:dyDescent="0.3">
      <c r="A225" s="132"/>
      <c r="B225" s="134"/>
      <c r="C225" s="135"/>
      <c r="D225" s="135">
        <v>8</v>
      </c>
      <c r="E225" s="135"/>
      <c r="F225" s="135"/>
      <c r="G225" s="136">
        <f t="shared" si="24"/>
        <v>8</v>
      </c>
      <c r="H225" s="131"/>
    </row>
    <row r="226" spans="1:8" x14ac:dyDescent="0.3">
      <c r="A226" s="132"/>
      <c r="B226" s="134"/>
      <c r="C226" s="135"/>
      <c r="D226" s="135">
        <v>4</v>
      </c>
      <c r="E226" s="135"/>
      <c r="F226" s="135"/>
      <c r="G226" s="136">
        <f t="shared" si="24"/>
        <v>4</v>
      </c>
      <c r="H226" s="131"/>
    </row>
    <row r="227" spans="1:8" x14ac:dyDescent="0.3">
      <c r="A227" s="132"/>
      <c r="B227" s="134"/>
      <c r="C227" s="135"/>
      <c r="D227" s="135">
        <v>13</v>
      </c>
      <c r="E227" s="135"/>
      <c r="F227" s="135"/>
      <c r="G227" s="136">
        <f t="shared" si="24"/>
        <v>13</v>
      </c>
      <c r="H227" s="131"/>
    </row>
    <row r="228" spans="1:8" x14ac:dyDescent="0.3">
      <c r="A228" s="132"/>
      <c r="B228" s="134"/>
      <c r="C228" s="135"/>
      <c r="D228" s="135">
        <v>13.46</v>
      </c>
      <c r="E228" s="135"/>
      <c r="F228" s="135"/>
      <c r="G228" s="136">
        <f t="shared" si="24"/>
        <v>13.46</v>
      </c>
      <c r="H228" s="131"/>
    </row>
    <row r="229" spans="1:8" x14ac:dyDescent="0.3">
      <c r="A229" s="132"/>
      <c r="B229" s="134"/>
      <c r="C229" s="135"/>
      <c r="D229" s="135">
        <v>9.16</v>
      </c>
      <c r="E229" s="135"/>
      <c r="F229" s="135"/>
      <c r="G229" s="136">
        <f t="shared" si="24"/>
        <v>9.16</v>
      </c>
      <c r="H229" s="131"/>
    </row>
    <row r="230" spans="1:8" x14ac:dyDescent="0.3">
      <c r="A230" s="132"/>
      <c r="B230" s="134"/>
      <c r="C230" s="135"/>
      <c r="D230" s="135">
        <v>5.59</v>
      </c>
      <c r="E230" s="135"/>
      <c r="F230" s="135"/>
      <c r="G230" s="136">
        <f t="shared" si="24"/>
        <v>5.59</v>
      </c>
      <c r="H230" s="131"/>
    </row>
    <row r="231" spans="1:8" x14ac:dyDescent="0.3">
      <c r="A231" s="132"/>
      <c r="B231" s="134"/>
      <c r="C231" s="135"/>
      <c r="D231" s="135">
        <v>28.51</v>
      </c>
      <c r="E231" s="135"/>
      <c r="F231" s="135"/>
      <c r="G231" s="136">
        <f t="shared" si="24"/>
        <v>28.51</v>
      </c>
      <c r="H231" s="131"/>
    </row>
    <row r="232" spans="1:8" x14ac:dyDescent="0.3">
      <c r="A232" s="132"/>
      <c r="B232" s="134"/>
      <c r="C232" s="135"/>
      <c r="D232" s="135">
        <v>6.59</v>
      </c>
      <c r="E232" s="135"/>
      <c r="F232" s="135"/>
      <c r="G232" s="136">
        <f t="shared" si="24"/>
        <v>6.59</v>
      </c>
      <c r="H232" s="131"/>
    </row>
    <row r="233" spans="1:8" x14ac:dyDescent="0.3">
      <c r="A233" s="132"/>
      <c r="B233" s="134"/>
      <c r="C233" s="135"/>
      <c r="D233" s="135">
        <v>2.76</v>
      </c>
      <c r="E233" s="135"/>
      <c r="F233" s="135"/>
      <c r="G233" s="136">
        <f t="shared" si="24"/>
        <v>2.76</v>
      </c>
      <c r="H233" s="131"/>
    </row>
    <row r="234" spans="1:8" x14ac:dyDescent="0.3">
      <c r="A234" s="132"/>
      <c r="B234" s="134"/>
      <c r="C234" s="135"/>
      <c r="D234" s="135">
        <v>69.430000000000007</v>
      </c>
      <c r="E234" s="135"/>
      <c r="F234" s="135"/>
      <c r="G234" s="136">
        <f t="shared" si="24"/>
        <v>69.430000000000007</v>
      </c>
      <c r="H234" s="131"/>
    </row>
    <row r="235" spans="1:8" x14ac:dyDescent="0.3">
      <c r="A235" s="132"/>
      <c r="B235" s="134"/>
      <c r="C235" s="135"/>
      <c r="D235" s="135">
        <v>3.15</v>
      </c>
      <c r="E235" s="135"/>
      <c r="F235" s="135"/>
      <c r="G235" s="136">
        <f t="shared" si="24"/>
        <v>3.15</v>
      </c>
      <c r="H235" s="131"/>
    </row>
    <row r="236" spans="1:8" x14ac:dyDescent="0.3">
      <c r="A236" s="132"/>
      <c r="B236" s="134"/>
      <c r="C236" s="135"/>
      <c r="D236" s="135">
        <v>6.06</v>
      </c>
      <c r="E236" s="135"/>
      <c r="F236" s="135"/>
      <c r="G236" s="136">
        <f t="shared" si="24"/>
        <v>6.06</v>
      </c>
      <c r="H236" s="131"/>
    </row>
    <row r="237" spans="1:8" x14ac:dyDescent="0.3">
      <c r="A237" s="132"/>
      <c r="B237" s="134"/>
      <c r="C237" s="135"/>
      <c r="D237" s="135">
        <v>9.85</v>
      </c>
      <c r="E237" s="135"/>
      <c r="F237" s="135"/>
      <c r="G237" s="136">
        <f t="shared" si="24"/>
        <v>9.85</v>
      </c>
      <c r="H237" s="131"/>
    </row>
    <row r="238" spans="1:8" x14ac:dyDescent="0.3">
      <c r="A238" s="132"/>
      <c r="B238" s="134"/>
      <c r="C238" s="137"/>
      <c r="D238" s="137"/>
      <c r="E238" s="137"/>
      <c r="F238" s="137"/>
      <c r="G238" s="136">
        <f t="shared" si="24"/>
        <v>0</v>
      </c>
      <c r="H238" s="131"/>
    </row>
    <row r="239" spans="1:8" x14ac:dyDescent="0.3">
      <c r="A239" s="132"/>
      <c r="C239" s="139"/>
      <c r="D239" s="212"/>
      <c r="E239" s="140" t="s">
        <v>616</v>
      </c>
      <c r="F239" s="141" t="s">
        <v>617</v>
      </c>
      <c r="G239" s="142">
        <f>SUM(G187:G238)</f>
        <v>1833.14</v>
      </c>
      <c r="H239" s="143" t="s">
        <v>50</v>
      </c>
    </row>
    <row r="240" spans="1:8" ht="22.9" customHeight="1" x14ac:dyDescent="0.3">
      <c r="A240" s="132" t="str">
        <f>BASE!A48</f>
        <v>4.4</v>
      </c>
      <c r="B240" s="294" t="str">
        <f>BASE!D48</f>
        <v>EXECUÇÃO DE PASSEIO EM PISO INTERTRAVADO, COM BLOCO RETANGULAR COLORIDO DE 20 X 10 CM, ESPESSURA 6 CM. AF_12/2015</v>
      </c>
      <c r="C240" s="295"/>
      <c r="D240" s="296"/>
      <c r="H240" s="131"/>
    </row>
    <row r="241" spans="1:8" x14ac:dyDescent="0.3">
      <c r="A241" s="132"/>
      <c r="B241" s="133" t="s">
        <v>612</v>
      </c>
      <c r="C241" s="133" t="s">
        <v>618</v>
      </c>
      <c r="D241" s="133" t="s">
        <v>613</v>
      </c>
      <c r="E241" s="133" t="s">
        <v>614</v>
      </c>
      <c r="F241" s="133" t="s">
        <v>615</v>
      </c>
      <c r="G241" s="133" t="s">
        <v>616</v>
      </c>
      <c r="H241" s="131"/>
    </row>
    <row r="242" spans="1:8" x14ac:dyDescent="0.3">
      <c r="A242" s="132"/>
      <c r="B242" s="134" t="s">
        <v>639</v>
      </c>
      <c r="C242" s="135">
        <v>998.25</v>
      </c>
      <c r="D242" s="135"/>
      <c r="E242" s="135"/>
      <c r="F242" s="135"/>
      <c r="G242" s="136">
        <f>ROUND(IF(PRODUCT(IF(C242=0,1,C242),IF(D242=0,1,D242),IF(E242=0,1,E242),IF(F242=0,1,F242))=1,0,PRODUCT(IF(C242=0,1,C242),IF(D242=0,1,D242),IF(E242=0,1,E242),IF(F242=0,1,F242))),2)</f>
        <v>998.25</v>
      </c>
      <c r="H242" s="131"/>
    </row>
    <row r="243" spans="1:8" x14ac:dyDescent="0.3">
      <c r="A243" s="132"/>
      <c r="B243" s="134" t="s">
        <v>640</v>
      </c>
      <c r="C243" s="135">
        <v>130.88</v>
      </c>
      <c r="D243" s="135"/>
      <c r="E243" s="135"/>
      <c r="F243" s="135"/>
      <c r="G243" s="136">
        <f t="shared" ref="G243:G244" si="25">ROUND(IF(PRODUCT(IF(C243=0,1,C243),IF(D243=0,1,D243),IF(E243=0,1,E243),IF(F243=0,1,F243))=1,0,PRODUCT(IF(C243=0,1,C243),IF(D243=0,1,D243),IF(E243=0,1,E243),IF(F243=0,1,F243))),2)</f>
        <v>130.88</v>
      </c>
      <c r="H243" s="131"/>
    </row>
    <row r="244" spans="1:8" x14ac:dyDescent="0.3">
      <c r="A244" s="132"/>
      <c r="B244" s="134"/>
      <c r="C244" s="137"/>
      <c r="D244" s="137"/>
      <c r="E244" s="137"/>
      <c r="F244" s="137"/>
      <c r="G244" s="136">
        <f t="shared" si="25"/>
        <v>0</v>
      </c>
      <c r="H244" s="131"/>
    </row>
    <row r="245" spans="1:8" x14ac:dyDescent="0.3">
      <c r="A245" s="132"/>
      <c r="C245" s="139"/>
      <c r="D245" s="212"/>
      <c r="E245" s="140" t="s">
        <v>616</v>
      </c>
      <c r="F245" s="141" t="s">
        <v>617</v>
      </c>
      <c r="G245" s="142">
        <f>SUM(G242:G244)</f>
        <v>1129.1300000000001</v>
      </c>
      <c r="H245" s="143" t="s">
        <v>25</v>
      </c>
    </row>
    <row r="246" spans="1:8" ht="22.9" customHeight="1" x14ac:dyDescent="0.3">
      <c r="A246" s="132" t="str">
        <f>BASE!A49</f>
        <v>4.5</v>
      </c>
      <c r="B246" s="294" t="str">
        <f>BASE!D49</f>
        <v>EXECUÇÃO DE PASSEIO EM PISO INTERTRAVADO, COM BLOCO RETANGULAR COR NATURAL DE 20 X 10 CM, ESPESSURA 6 CM. AF_12/2015</v>
      </c>
      <c r="C246" s="295"/>
      <c r="D246" s="296"/>
      <c r="H246" s="131"/>
    </row>
    <row r="247" spans="1:8" x14ac:dyDescent="0.3">
      <c r="A247" s="132"/>
      <c r="B247" s="133" t="s">
        <v>612</v>
      </c>
      <c r="C247" s="133" t="s">
        <v>618</v>
      </c>
      <c r="D247" s="133" t="s">
        <v>613</v>
      </c>
      <c r="E247" s="133" t="s">
        <v>614</v>
      </c>
      <c r="F247" s="133" t="s">
        <v>615</v>
      </c>
      <c r="G247" s="133" t="s">
        <v>616</v>
      </c>
      <c r="H247" s="131"/>
    </row>
    <row r="248" spans="1:8" x14ac:dyDescent="0.3">
      <c r="A248" s="132"/>
      <c r="B248" s="134" t="s">
        <v>638</v>
      </c>
      <c r="C248" s="135">
        <v>1918.1</v>
      </c>
      <c r="D248" s="135"/>
      <c r="E248" s="135"/>
      <c r="F248" s="135"/>
      <c r="G248" s="136">
        <f>ROUND(IF(PRODUCT(IF(C248=0,1,C248),IF(D248=0,1,D248),IF(E248=0,1,E248),IF(F248=0,1,F248))=1,0,PRODUCT(IF(C248=0,1,C248),IF(D248=0,1,D248),IF(E248=0,1,E248),IF(F248=0,1,F248))),2)</f>
        <v>1918.1</v>
      </c>
      <c r="H248" s="131"/>
    </row>
    <row r="249" spans="1:8" x14ac:dyDescent="0.3">
      <c r="A249" s="132"/>
      <c r="B249" s="134"/>
      <c r="C249" s="137"/>
      <c r="D249" s="137"/>
      <c r="E249" s="137"/>
      <c r="F249" s="137"/>
      <c r="G249" s="136">
        <f t="shared" ref="G249" si="26">ROUND(IF(PRODUCT(IF(C249=0,1,C249),IF(D249=0,1,D249),IF(E249=0,1,E249),IF(F249=0,1,F249))=1,0,PRODUCT(IF(C249=0,1,C249),IF(D249=0,1,D249),IF(E249=0,1,E249),IF(F249=0,1,F249))),2)</f>
        <v>0</v>
      </c>
      <c r="H249" s="131"/>
    </row>
    <row r="250" spans="1:8" x14ac:dyDescent="0.3">
      <c r="A250" s="132"/>
      <c r="C250" s="139"/>
      <c r="D250" s="212"/>
      <c r="E250" s="140" t="s">
        <v>616</v>
      </c>
      <c r="F250" s="141" t="s">
        <v>617</v>
      </c>
      <c r="G250" s="142">
        <f>SUM(G248:G249)</f>
        <v>1918.1</v>
      </c>
      <c r="H250" s="143" t="s">
        <v>25</v>
      </c>
    </row>
    <row r="251" spans="1:8" ht="22.9" customHeight="1" x14ac:dyDescent="0.3">
      <c r="A251" s="132" t="str">
        <f>BASE!A50</f>
        <v>4.6</v>
      </c>
      <c r="B251" s="294" t="str">
        <f>BASE!D50</f>
        <v>EXECUÇÃO DE PASSEIO (CALÇADA) OU PISO DE CONCRETO COM CONCRETO MOLDADO IN LOCO, FEITO EM OBRA, ACABAMENTO CONVENCIONAL, NÃO ARMADO. AF_07/2016</v>
      </c>
      <c r="C251" s="295"/>
      <c r="D251" s="296"/>
      <c r="H251" s="131"/>
    </row>
    <row r="252" spans="1:8" x14ac:dyDescent="0.3">
      <c r="A252" s="132"/>
      <c r="B252" s="133" t="s">
        <v>612</v>
      </c>
      <c r="C252" s="133" t="s">
        <v>618</v>
      </c>
      <c r="D252" s="133" t="s">
        <v>613</v>
      </c>
      <c r="E252" s="133" t="s">
        <v>614</v>
      </c>
      <c r="F252" s="133" t="s">
        <v>615</v>
      </c>
      <c r="G252" s="133" t="s">
        <v>616</v>
      </c>
      <c r="H252" s="131"/>
    </row>
    <row r="253" spans="1:8" x14ac:dyDescent="0.3">
      <c r="A253" s="132"/>
      <c r="B253" s="134" t="s">
        <v>641</v>
      </c>
      <c r="C253" s="135">
        <v>1261.8499999999999</v>
      </c>
      <c r="D253" s="135"/>
      <c r="E253" s="135"/>
      <c r="F253" s="135">
        <v>0.05</v>
      </c>
      <c r="G253" s="136">
        <f>ROUND(IF(PRODUCT(IF(C253=0,1,C253),IF(D253=0,1,D253),IF(E253=0,1,E253),IF(F253=0,1,F253))=1,0,PRODUCT(IF(C253=0,1,C253),IF(D253=0,1,D253),IF(E253=0,1,E253),IF(F253=0,1,F253))),2)</f>
        <v>63.09</v>
      </c>
      <c r="H253" s="131"/>
    </row>
    <row r="254" spans="1:8" x14ac:dyDescent="0.3">
      <c r="A254" s="132"/>
      <c r="B254" s="134"/>
      <c r="C254" s="137"/>
      <c r="D254" s="137"/>
      <c r="E254" s="137"/>
      <c r="F254" s="137"/>
      <c r="G254" s="136">
        <f t="shared" ref="G254" si="27">ROUND(IF(PRODUCT(IF(C254=0,1,C254),IF(D254=0,1,D254),IF(E254=0,1,E254),IF(F254=0,1,F254))=1,0,PRODUCT(IF(C254=0,1,C254),IF(D254=0,1,D254),IF(E254=0,1,E254),IF(F254=0,1,F254))),2)</f>
        <v>0</v>
      </c>
      <c r="H254" s="131"/>
    </row>
    <row r="255" spans="1:8" x14ac:dyDescent="0.3">
      <c r="A255" s="132"/>
      <c r="C255" s="139"/>
      <c r="D255" s="212"/>
      <c r="E255" s="140" t="s">
        <v>616</v>
      </c>
      <c r="F255" s="141" t="s">
        <v>617</v>
      </c>
      <c r="G255" s="142">
        <f>SUM(G253:G254)</f>
        <v>63.09</v>
      </c>
      <c r="H255" s="143" t="s">
        <v>39</v>
      </c>
    </row>
    <row r="256" spans="1:8" ht="22.9" customHeight="1" x14ac:dyDescent="0.3">
      <c r="A256" s="132" t="str">
        <f>BASE!A51</f>
        <v>4.7</v>
      </c>
      <c r="B256" s="294" t="str">
        <f>BASE!D51</f>
        <v>ACABAMENTO DE SUPERFÍCIE DE PISO DE CONCRETO COM POLIMENTO MECÂNICO COM ACABADORA SIMPLES - REV 02</v>
      </c>
      <c r="C256" s="295"/>
      <c r="D256" s="296"/>
      <c r="H256" s="131"/>
    </row>
    <row r="257" spans="1:8" x14ac:dyDescent="0.3">
      <c r="A257" s="132"/>
      <c r="B257" s="133" t="s">
        <v>612</v>
      </c>
      <c r="C257" s="133" t="s">
        <v>618</v>
      </c>
      <c r="D257" s="133" t="s">
        <v>613</v>
      </c>
      <c r="E257" s="133" t="s">
        <v>614</v>
      </c>
      <c r="F257" s="133" t="s">
        <v>615</v>
      </c>
      <c r="G257" s="133" t="s">
        <v>616</v>
      </c>
      <c r="H257" s="131"/>
    </row>
    <row r="258" spans="1:8" x14ac:dyDescent="0.3">
      <c r="A258" s="132"/>
      <c r="B258" s="134" t="s">
        <v>641</v>
      </c>
      <c r="C258" s="135">
        <v>1261.8499999999999</v>
      </c>
      <c r="D258" s="135"/>
      <c r="E258" s="135"/>
      <c r="F258" s="135"/>
      <c r="G258" s="136">
        <f>ROUND(IF(PRODUCT(IF(C258=0,1,C258),IF(D258=0,1,D258),IF(E258=0,1,E258),IF(F258=0,1,F258))=1,0,PRODUCT(IF(C258=0,1,C258),IF(D258=0,1,D258),IF(E258=0,1,E258),IF(F258=0,1,F258))),2)</f>
        <v>1261.8499999999999</v>
      </c>
      <c r="H258" s="131"/>
    </row>
    <row r="259" spans="1:8" x14ac:dyDescent="0.3">
      <c r="A259" s="132"/>
      <c r="B259" s="134"/>
      <c r="C259" s="137"/>
      <c r="D259" s="137"/>
      <c r="E259" s="137"/>
      <c r="F259" s="137"/>
      <c r="G259" s="136">
        <f t="shared" ref="G259" si="28">ROUND(IF(PRODUCT(IF(C259=0,1,C259),IF(D259=0,1,D259),IF(E259=0,1,E259),IF(F259=0,1,F259))=1,0,PRODUCT(IF(C259=0,1,C259),IF(D259=0,1,D259),IF(E259=0,1,E259),IF(F259=0,1,F259))),2)</f>
        <v>0</v>
      </c>
      <c r="H259" s="131"/>
    </row>
    <row r="260" spans="1:8" x14ac:dyDescent="0.3">
      <c r="A260" s="132"/>
      <c r="C260" s="139"/>
      <c r="D260" s="212"/>
      <c r="E260" s="140" t="s">
        <v>616</v>
      </c>
      <c r="F260" s="141" t="s">
        <v>617</v>
      </c>
      <c r="G260" s="142">
        <f>SUM(G258:G259)</f>
        <v>1261.8499999999999</v>
      </c>
      <c r="H260" s="143" t="s">
        <v>25</v>
      </c>
    </row>
    <row r="261" spans="1:8" x14ac:dyDescent="0.3">
      <c r="A261" s="249" t="str">
        <f>BASE!A52</f>
        <v>5.0</v>
      </c>
      <c r="B261" s="250" t="str">
        <f>BASE!D52</f>
        <v>PINTURA</v>
      </c>
      <c r="H261" s="131"/>
    </row>
    <row r="262" spans="1:8" x14ac:dyDescent="0.3">
      <c r="A262" s="251" t="str">
        <f>BASE!A53</f>
        <v>5.1</v>
      </c>
      <c r="B262" s="252" t="str">
        <f>BASE!D53</f>
        <v>REMOÇÃO DE PINTURA</v>
      </c>
      <c r="H262" s="131"/>
    </row>
    <row r="263" spans="1:8" ht="22.9" customHeight="1" x14ac:dyDescent="0.3">
      <c r="A263" s="132" t="str">
        <f>BASE!A54</f>
        <v>5.1.1</v>
      </c>
      <c r="B263" s="294" t="str">
        <f>BASE!D54</f>
        <v xml:space="preserve">REMOÇÃO DE PINTURA A BASE ESMALTE, UTILIZANDO REMOVEDOR DE TINTA CORAL OU SIMILAR - REV 02	</v>
      </c>
      <c r="C263" s="295"/>
      <c r="D263" s="296"/>
      <c r="H263" s="131"/>
    </row>
    <row r="264" spans="1:8" x14ac:dyDescent="0.3">
      <c r="A264" s="132"/>
      <c r="B264" s="133" t="s">
        <v>612</v>
      </c>
      <c r="C264" s="133" t="s">
        <v>265</v>
      </c>
      <c r="D264" s="133" t="s">
        <v>613</v>
      </c>
      <c r="E264" s="133" t="s">
        <v>614</v>
      </c>
      <c r="F264" s="133" t="s">
        <v>615</v>
      </c>
      <c r="G264" s="133" t="s">
        <v>616</v>
      </c>
      <c r="H264" s="131"/>
    </row>
    <row r="265" spans="1:8" x14ac:dyDescent="0.3">
      <c r="A265" s="132"/>
      <c r="B265" s="134" t="s">
        <v>642</v>
      </c>
      <c r="C265" s="135"/>
      <c r="D265" s="135">
        <v>42.7</v>
      </c>
      <c r="E265" s="135">
        <v>21.8</v>
      </c>
      <c r="F265" s="135"/>
      <c r="G265" s="136">
        <f>ROUND(IF(PRODUCT(IF(C265=0,1,C265),IF(D265=0,1,D265),IF(E265=0,1,E265),IF(F265=0,1,F265))=1,0,PRODUCT(IF(C265=0,1,C265),IF(D265=0,1,D265),IF(E265=0,1,E265),IF(F265=0,1,F265))),2)</f>
        <v>930.86</v>
      </c>
      <c r="H265" s="131"/>
    </row>
    <row r="266" spans="1:8" x14ac:dyDescent="0.3">
      <c r="A266" s="132"/>
      <c r="B266" s="134"/>
      <c r="C266" s="137"/>
      <c r="D266" s="137"/>
      <c r="E266" s="137"/>
      <c r="F266" s="137"/>
      <c r="G266" s="136">
        <f t="shared" ref="G266" si="29">ROUND(IF(PRODUCT(IF(C266=0,1,C266),IF(D266=0,1,D266),IF(E266=0,1,E266),IF(F266=0,1,F266))=1,0,PRODUCT(IF(C266=0,1,C266),IF(D266=0,1,D266),IF(E266=0,1,E266),IF(F266=0,1,F266))),2)</f>
        <v>0</v>
      </c>
      <c r="H266" s="131"/>
    </row>
    <row r="267" spans="1:8" x14ac:dyDescent="0.3">
      <c r="A267" s="132"/>
      <c r="C267" s="139"/>
      <c r="D267" s="212"/>
      <c r="E267" s="140" t="s">
        <v>616</v>
      </c>
      <c r="F267" s="141" t="s">
        <v>617</v>
      </c>
      <c r="G267" s="142">
        <f>SUM(G265:G266)</f>
        <v>930.86</v>
      </c>
      <c r="H267" s="143" t="s">
        <v>25</v>
      </c>
    </row>
    <row r="268" spans="1:8" x14ac:dyDescent="0.3">
      <c r="A268" s="132" t="str">
        <f>BASE!A55</f>
        <v>5.1.2</v>
      </c>
      <c r="B268" s="294" t="str">
        <f>BASE!D55</f>
        <v>REMOÇÃO DE PINTURA LÁTEX (RASPAGEM E/OU LIXAMENTO E/OU ESCOVAÇÃO)</v>
      </c>
      <c r="C268" s="295"/>
      <c r="D268" s="296"/>
      <c r="H268" s="131"/>
    </row>
    <row r="269" spans="1:8" x14ac:dyDescent="0.3">
      <c r="A269" s="132"/>
      <c r="B269" s="133" t="s">
        <v>612</v>
      </c>
      <c r="C269" s="133" t="s">
        <v>265</v>
      </c>
      <c r="D269" s="133" t="s">
        <v>613</v>
      </c>
      <c r="E269" s="133" t="s">
        <v>614</v>
      </c>
      <c r="F269" s="133" t="s">
        <v>615</v>
      </c>
      <c r="G269" s="133" t="s">
        <v>616</v>
      </c>
      <c r="H269" s="131"/>
    </row>
    <row r="270" spans="1:8" x14ac:dyDescent="0.3">
      <c r="A270" s="132"/>
      <c r="B270" s="134" t="s">
        <v>643</v>
      </c>
      <c r="C270" s="135"/>
      <c r="D270" s="135">
        <f>14.9+7+14.9+7+9.3+9.3+7.2+7.2</f>
        <v>76.8</v>
      </c>
      <c r="E270" s="135"/>
      <c r="F270" s="135">
        <v>4</v>
      </c>
      <c r="G270" s="136">
        <f>ROUND(IF(PRODUCT(IF(C270=0,1,C270),IF(D270=0,1,D270),IF(E270=0,1,E270),IF(F270=0,1,F270))=1,0,PRODUCT(IF(C270=0,1,C270),IF(D270=0,1,D270),IF(E270=0,1,E270),IF(F270=0,1,F270))),2)</f>
        <v>307.2</v>
      </c>
      <c r="H270" s="131"/>
    </row>
    <row r="271" spans="1:8" x14ac:dyDescent="0.3">
      <c r="A271" s="132"/>
      <c r="B271" s="134"/>
      <c r="C271" s="137"/>
      <c r="D271" s="137"/>
      <c r="E271" s="137"/>
      <c r="F271" s="137"/>
      <c r="G271" s="136">
        <f t="shared" ref="G271" si="30">ROUND(IF(PRODUCT(IF(C271=0,1,C271),IF(D271=0,1,D271),IF(E271=0,1,E271),IF(F271=0,1,F271))=1,0,PRODUCT(IF(C271=0,1,C271),IF(D271=0,1,D271),IF(E271=0,1,E271),IF(F271=0,1,F271))),2)</f>
        <v>0</v>
      </c>
      <c r="H271" s="131"/>
    </row>
    <row r="272" spans="1:8" x14ac:dyDescent="0.3">
      <c r="A272" s="132"/>
      <c r="C272" s="139"/>
      <c r="D272" s="212"/>
      <c r="E272" s="140" t="s">
        <v>616</v>
      </c>
      <c r="F272" s="141" t="s">
        <v>617</v>
      </c>
      <c r="G272" s="142">
        <f>SUM(G270:G271)</f>
        <v>307.2</v>
      </c>
      <c r="H272" s="143" t="s">
        <v>25</v>
      </c>
    </row>
    <row r="273" spans="1:8" x14ac:dyDescent="0.3">
      <c r="A273" s="251" t="str">
        <f>BASE!A56</f>
        <v>5.2</v>
      </c>
      <c r="B273" s="252" t="str">
        <f>BASE!D56</f>
        <v>PINTURA</v>
      </c>
      <c r="H273" s="131"/>
    </row>
    <row r="274" spans="1:8" x14ac:dyDescent="0.3">
      <c r="A274" s="132" t="str">
        <f>BASE!A57</f>
        <v>5.2.1</v>
      </c>
      <c r="B274" s="294" t="str">
        <f>BASE!D57</f>
        <v>APLICAÇÃO DE FUNDO SELADOR ACRÍLICO EM PAREDES, UMA DEMÃO. AF_06/2014</v>
      </c>
      <c r="C274" s="295"/>
      <c r="D274" s="296"/>
      <c r="H274" s="131"/>
    </row>
    <row r="275" spans="1:8" x14ac:dyDescent="0.3">
      <c r="A275" s="132"/>
      <c r="B275" s="133" t="s">
        <v>612</v>
      </c>
      <c r="C275" s="133" t="s">
        <v>265</v>
      </c>
      <c r="D275" s="133" t="s">
        <v>613</v>
      </c>
      <c r="E275" s="133" t="s">
        <v>614</v>
      </c>
      <c r="F275" s="133" t="s">
        <v>615</v>
      </c>
      <c r="G275" s="133" t="s">
        <v>616</v>
      </c>
      <c r="H275" s="131"/>
    </row>
    <row r="276" spans="1:8" x14ac:dyDescent="0.3">
      <c r="A276" s="132"/>
      <c r="B276" s="134" t="s">
        <v>643</v>
      </c>
      <c r="C276" s="135"/>
      <c r="D276" s="135">
        <f>14.9+7+14.9+7+9.3+9.3+7.2+7.2</f>
        <v>76.8</v>
      </c>
      <c r="E276" s="135"/>
      <c r="F276" s="135">
        <v>4</v>
      </c>
      <c r="G276" s="136">
        <f>ROUND(IF(PRODUCT(IF(C276=0,1,C276),IF(D276=0,1,D276),IF(E276=0,1,E276),IF(F276=0,1,F276))=1,0,PRODUCT(IF(C276=0,1,C276),IF(D276=0,1,D276),IF(E276=0,1,E276),IF(F276=0,1,F276))),2)</f>
        <v>307.2</v>
      </c>
      <c r="H276" s="131"/>
    </row>
    <row r="277" spans="1:8" x14ac:dyDescent="0.3">
      <c r="A277" s="132"/>
      <c r="B277" s="134" t="s">
        <v>644</v>
      </c>
      <c r="C277" s="135"/>
      <c r="D277" s="135">
        <v>282.7</v>
      </c>
      <c r="E277" s="135"/>
      <c r="F277" s="135">
        <v>2.2000000000000002</v>
      </c>
      <c r="G277" s="136">
        <f t="shared" ref="G277:G279" si="31">ROUND(IF(PRODUCT(IF(C277=0,1,C277),IF(D277=0,1,D277),IF(E277=0,1,E277),IF(F277=0,1,F277))=1,0,PRODUCT(IF(C277=0,1,C277),IF(D277=0,1,D277),IF(E277=0,1,E277),IF(F277=0,1,F277))),2)</f>
        <v>621.94000000000005</v>
      </c>
      <c r="H277" s="131"/>
    </row>
    <row r="278" spans="1:8" x14ac:dyDescent="0.3">
      <c r="A278" s="132"/>
      <c r="B278" s="134" t="s">
        <v>645</v>
      </c>
      <c r="C278" s="135">
        <v>2</v>
      </c>
      <c r="D278" s="135">
        <f>53.8+14.5+7.5</f>
        <v>75.8</v>
      </c>
      <c r="E278" s="135"/>
      <c r="F278" s="135">
        <v>0.5</v>
      </c>
      <c r="G278" s="136">
        <f t="shared" si="31"/>
        <v>75.8</v>
      </c>
      <c r="H278" s="131"/>
    </row>
    <row r="279" spans="1:8" x14ac:dyDescent="0.3">
      <c r="A279" s="132"/>
      <c r="B279" s="134"/>
      <c r="C279" s="137"/>
      <c r="D279" s="137"/>
      <c r="E279" s="137"/>
      <c r="F279" s="137"/>
      <c r="G279" s="136">
        <f t="shared" si="31"/>
        <v>0</v>
      </c>
      <c r="H279" s="131"/>
    </row>
    <row r="280" spans="1:8" x14ac:dyDescent="0.3">
      <c r="A280" s="132"/>
      <c r="C280" s="139"/>
      <c r="D280" s="212"/>
      <c r="E280" s="140" t="s">
        <v>616</v>
      </c>
      <c r="F280" s="141" t="s">
        <v>617</v>
      </c>
      <c r="G280" s="142">
        <f>SUM(G276:G279)</f>
        <v>1004.94</v>
      </c>
      <c r="H280" s="143" t="s">
        <v>25</v>
      </c>
    </row>
    <row r="281" spans="1:8" ht="22.9" customHeight="1" x14ac:dyDescent="0.3">
      <c r="A281" s="132" t="str">
        <f>BASE!A58</f>
        <v>5.2.2</v>
      </c>
      <c r="B281" s="294" t="str">
        <f>BASE!D58</f>
        <v>APLICAÇÃO MANUAL DE PINTURA COM TINTA LÁTEX ACRÍLICA EM PAREDES, DUAS DEMÃOS. AF_06/2014</v>
      </c>
      <c r="C281" s="295"/>
      <c r="D281" s="296"/>
      <c r="H281" s="131"/>
    </row>
    <row r="282" spans="1:8" x14ac:dyDescent="0.3">
      <c r="A282" s="132"/>
      <c r="B282" s="133" t="s">
        <v>612</v>
      </c>
      <c r="C282" s="133" t="s">
        <v>265</v>
      </c>
      <c r="D282" s="133" t="s">
        <v>613</v>
      </c>
      <c r="E282" s="133" t="s">
        <v>614</v>
      </c>
      <c r="F282" s="133" t="s">
        <v>615</v>
      </c>
      <c r="G282" s="133" t="s">
        <v>616</v>
      </c>
      <c r="H282" s="131"/>
    </row>
    <row r="283" spans="1:8" x14ac:dyDescent="0.3">
      <c r="A283" s="132"/>
      <c r="B283" s="134" t="s">
        <v>643</v>
      </c>
      <c r="C283" s="135"/>
      <c r="D283" s="135">
        <f>14.9+7+14.9+7+9.3+9.3+7.2+7.2</f>
        <v>76.8</v>
      </c>
      <c r="E283" s="135"/>
      <c r="F283" s="135">
        <v>4</v>
      </c>
      <c r="G283" s="136">
        <f>ROUND(IF(PRODUCT(IF(C283=0,1,C283),IF(D283=0,1,D283),IF(E283=0,1,E283),IF(F283=0,1,F283))=1,0,PRODUCT(IF(C283=0,1,C283),IF(D283=0,1,D283),IF(E283=0,1,E283),IF(F283=0,1,F283))),2)</f>
        <v>307.2</v>
      </c>
      <c r="H283" s="131"/>
    </row>
    <row r="284" spans="1:8" x14ac:dyDescent="0.3">
      <c r="A284" s="132"/>
      <c r="B284" s="134" t="s">
        <v>644</v>
      </c>
      <c r="C284" s="135"/>
      <c r="D284" s="135">
        <v>282.7</v>
      </c>
      <c r="E284" s="135"/>
      <c r="F284" s="135">
        <v>2.2000000000000002</v>
      </c>
      <c r="G284" s="136">
        <f t="shared" ref="G284:G286" si="32">ROUND(IF(PRODUCT(IF(C284=0,1,C284),IF(D284=0,1,D284),IF(E284=0,1,E284),IF(F284=0,1,F284))=1,0,PRODUCT(IF(C284=0,1,C284),IF(D284=0,1,D284),IF(E284=0,1,E284),IF(F284=0,1,F284))),2)</f>
        <v>621.94000000000005</v>
      </c>
      <c r="H284" s="131"/>
    </row>
    <row r="285" spans="1:8" x14ac:dyDescent="0.3">
      <c r="A285" s="132"/>
      <c r="B285" s="134" t="s">
        <v>645</v>
      </c>
      <c r="C285" s="135">
        <v>2</v>
      </c>
      <c r="D285" s="135">
        <f>53.8+14.5+7.5</f>
        <v>75.8</v>
      </c>
      <c r="E285" s="135"/>
      <c r="F285" s="135">
        <v>0.5</v>
      </c>
      <c r="G285" s="136">
        <f t="shared" si="32"/>
        <v>75.8</v>
      </c>
      <c r="H285" s="131"/>
    </row>
    <row r="286" spans="1:8" x14ac:dyDescent="0.3">
      <c r="A286" s="132"/>
      <c r="B286" s="134"/>
      <c r="C286" s="137"/>
      <c r="D286" s="137"/>
      <c r="E286" s="137"/>
      <c r="F286" s="137"/>
      <c r="G286" s="136">
        <f t="shared" si="32"/>
        <v>0</v>
      </c>
      <c r="H286" s="131"/>
    </row>
    <row r="287" spans="1:8" x14ac:dyDescent="0.3">
      <c r="A287" s="132"/>
      <c r="C287" s="139"/>
      <c r="D287" s="212"/>
      <c r="E287" s="140" t="s">
        <v>616</v>
      </c>
      <c r="F287" s="141" t="s">
        <v>617</v>
      </c>
      <c r="G287" s="142">
        <f>SUM(G283:G286)</f>
        <v>1004.94</v>
      </c>
      <c r="H287" s="143" t="s">
        <v>25</v>
      </c>
    </row>
    <row r="288" spans="1:8" ht="22.9" customHeight="1" x14ac:dyDescent="0.3">
      <c r="A288" s="132" t="str">
        <f>BASE!A59</f>
        <v>5.2.3</v>
      </c>
      <c r="B288" s="294" t="str">
        <f>BASE!D59</f>
        <v>PINTURA TINTA DE ACABAMENTO (PIGMENTADA) ESMALTE SINTÉTICO FOSCO EM MADEIRA, 1 DEMÃO. AF_01/2021</v>
      </c>
      <c r="C288" s="295"/>
      <c r="D288" s="296"/>
      <c r="H288" s="131"/>
    </row>
    <row r="289" spans="1:8" x14ac:dyDescent="0.3">
      <c r="A289" s="132"/>
      <c r="B289" s="133" t="s">
        <v>612</v>
      </c>
      <c r="C289" s="133" t="s">
        <v>265</v>
      </c>
      <c r="D289" s="133" t="s">
        <v>623</v>
      </c>
      <c r="E289" s="133" t="s">
        <v>614</v>
      </c>
      <c r="F289" s="133" t="s">
        <v>615</v>
      </c>
      <c r="G289" s="133" t="s">
        <v>616</v>
      </c>
      <c r="H289" s="131"/>
    </row>
    <row r="290" spans="1:8" x14ac:dyDescent="0.3">
      <c r="A290" s="132"/>
      <c r="B290" s="134"/>
      <c r="C290" s="135">
        <v>8</v>
      </c>
      <c r="D290" s="135">
        <v>2.5</v>
      </c>
      <c r="E290" s="135">
        <v>0.7</v>
      </c>
      <c r="F290" s="135">
        <v>2.1</v>
      </c>
      <c r="G290" s="136">
        <f>ROUND(IF(PRODUCT(IF(C290=0,1,C290),IF(D290=0,1,D290),IF(E290=0,1,E290),IF(F290=0,1,F290))=1,0,PRODUCT(IF(C290=0,1,C290),IF(D290=0,1,D290),IF(E290=0,1,E290),IF(F290=0,1,F290))),2)</f>
        <v>29.4</v>
      </c>
      <c r="H290" s="131"/>
    </row>
    <row r="291" spans="1:8" x14ac:dyDescent="0.3">
      <c r="A291" s="132"/>
      <c r="B291" s="134"/>
      <c r="C291" s="137"/>
      <c r="D291" s="137"/>
      <c r="E291" s="137"/>
      <c r="F291" s="137"/>
      <c r="G291" s="136">
        <f t="shared" ref="G291" si="33">ROUND(IF(PRODUCT(IF(C291=0,1,C291),IF(D291=0,1,D291),IF(E291=0,1,E291),IF(F291=0,1,F291))=1,0,PRODUCT(IF(C291=0,1,C291),IF(D291=0,1,D291),IF(E291=0,1,E291),IF(F291=0,1,F291))),2)</f>
        <v>0</v>
      </c>
      <c r="H291" s="131"/>
    </row>
    <row r="292" spans="1:8" x14ac:dyDescent="0.3">
      <c r="A292" s="132"/>
      <c r="C292" s="139"/>
      <c r="D292" s="212"/>
      <c r="E292" s="140" t="s">
        <v>616</v>
      </c>
      <c r="F292" s="141" t="s">
        <v>617</v>
      </c>
      <c r="G292" s="142">
        <f>SUM(G290:G291)</f>
        <v>29.4</v>
      </c>
      <c r="H292" s="143" t="s">
        <v>25</v>
      </c>
    </row>
    <row r="293" spans="1:8" ht="22.9" customHeight="1" x14ac:dyDescent="0.3">
      <c r="A293" s="132" t="str">
        <f>BASE!A60</f>
        <v>5.2.4</v>
      </c>
      <c r="B293" s="294" t="str">
        <f>BASE!D60</f>
        <v>PINTURA COM TINTA ACRÍLICA DE ACABAMENTO PULVERIZADA SOBRE SUPERFÍCIES METÁLICAS (EXCETO PERFIL) EXECUTADO EM OBRA (POR DEMÃO). AF_01/2020_P</v>
      </c>
      <c r="C293" s="295"/>
      <c r="D293" s="296"/>
      <c r="H293" s="131"/>
    </row>
    <row r="294" spans="1:8" x14ac:dyDescent="0.3">
      <c r="A294" s="132"/>
      <c r="B294" s="133" t="s">
        <v>612</v>
      </c>
      <c r="C294" s="133" t="s">
        <v>265</v>
      </c>
      <c r="D294" s="133" t="s">
        <v>646</v>
      </c>
      <c r="E294" s="133" t="s">
        <v>614</v>
      </c>
      <c r="F294" s="133" t="s">
        <v>615</v>
      </c>
      <c r="G294" s="133" t="s">
        <v>616</v>
      </c>
      <c r="H294" s="131"/>
    </row>
    <row r="295" spans="1:8" x14ac:dyDescent="0.3">
      <c r="A295" s="132"/>
      <c r="B295" s="134"/>
      <c r="C295" s="135">
        <v>3</v>
      </c>
      <c r="D295" s="135">
        <v>2</v>
      </c>
      <c r="E295" s="135">
        <v>0.8</v>
      </c>
      <c r="F295" s="135">
        <v>2.1</v>
      </c>
      <c r="G295" s="136">
        <f>ROUND(IF(PRODUCT(IF(C295=0,1,C295),IF(D295=0,1,D295),IF(E295=0,1,E295),IF(F295=0,1,F295))=1,0,PRODUCT(IF(C295=0,1,C295),IF(D295=0,1,D295),IF(E295=0,1,E295),IF(F295=0,1,F295))),2)</f>
        <v>10.08</v>
      </c>
      <c r="H295" s="131"/>
    </row>
    <row r="296" spans="1:8" x14ac:dyDescent="0.3">
      <c r="A296" s="132"/>
      <c r="B296" s="134" t="s">
        <v>647</v>
      </c>
      <c r="C296" s="135"/>
      <c r="D296" s="135">
        <v>42.7</v>
      </c>
      <c r="E296" s="135">
        <v>21.8</v>
      </c>
      <c r="F296" s="135"/>
      <c r="G296" s="136">
        <f t="shared" ref="G296:G297" si="34">ROUND(IF(PRODUCT(IF(C296=0,1,C296),IF(D296=0,1,D296),IF(E296=0,1,E296),IF(F296=0,1,F296))=1,0,PRODUCT(IF(C296=0,1,C296),IF(D296=0,1,D296),IF(E296=0,1,E296),IF(F296=0,1,F296))),2)</f>
        <v>930.86</v>
      </c>
      <c r="H296" s="131"/>
    </row>
    <row r="297" spans="1:8" x14ac:dyDescent="0.3">
      <c r="A297" s="132"/>
      <c r="B297" s="134"/>
      <c r="C297" s="137"/>
      <c r="D297" s="137"/>
      <c r="E297" s="137"/>
      <c r="F297" s="137"/>
      <c r="G297" s="136">
        <f t="shared" si="34"/>
        <v>0</v>
      </c>
      <c r="H297" s="131"/>
    </row>
    <row r="298" spans="1:8" x14ac:dyDescent="0.3">
      <c r="A298" s="132"/>
      <c r="C298" s="139"/>
      <c r="D298" s="212"/>
      <c r="E298" s="140" t="s">
        <v>616</v>
      </c>
      <c r="F298" s="141" t="s">
        <v>617</v>
      </c>
      <c r="G298" s="142">
        <f>SUM(G295:G297)</f>
        <v>940.94</v>
      </c>
      <c r="H298" s="143" t="s">
        <v>25</v>
      </c>
    </row>
    <row r="299" spans="1:8" ht="22.9" customHeight="1" x14ac:dyDescent="0.3">
      <c r="A299" s="132" t="str">
        <f>BASE!A61</f>
        <v>5.2.5</v>
      </c>
      <c r="B299" s="294" t="str">
        <f>BASE!D61</f>
        <v>PINTURA DE PISO COM TINTA ACRÍLICA, APLICAÇÃO MANUAL, 3 DEMÃOS, INCLUSO FUNDO PREPARADOR. AF_05/2021</v>
      </c>
      <c r="C299" s="295"/>
      <c r="D299" s="296"/>
      <c r="H299" s="131"/>
    </row>
    <row r="300" spans="1:8" x14ac:dyDescent="0.3">
      <c r="A300" s="132"/>
      <c r="B300" s="133" t="s">
        <v>612</v>
      </c>
      <c r="C300" s="133" t="s">
        <v>618</v>
      </c>
      <c r="D300" s="133" t="s">
        <v>613</v>
      </c>
      <c r="E300" s="133" t="s">
        <v>614</v>
      </c>
      <c r="F300" s="133" t="s">
        <v>615</v>
      </c>
      <c r="G300" s="133" t="s">
        <v>616</v>
      </c>
      <c r="H300" s="131"/>
    </row>
    <row r="301" spans="1:8" x14ac:dyDescent="0.3">
      <c r="A301" s="132"/>
      <c r="B301" s="134" t="s">
        <v>641</v>
      </c>
      <c r="C301" s="135">
        <v>1261.8499999999999</v>
      </c>
      <c r="D301" s="135"/>
      <c r="E301" s="135"/>
      <c r="F301" s="135"/>
      <c r="G301" s="136">
        <f>ROUND(IF(PRODUCT(IF(C301=0,1,C301),IF(D301=0,1,D301),IF(E301=0,1,E301),IF(F301=0,1,F301))=1,0,PRODUCT(IF(C301=0,1,C301),IF(D301=0,1,D301),IF(E301=0,1,E301),IF(F301=0,1,F301))),2)</f>
        <v>1261.8499999999999</v>
      </c>
      <c r="H301" s="131"/>
    </row>
    <row r="302" spans="1:8" x14ac:dyDescent="0.3">
      <c r="A302" s="132"/>
      <c r="B302" s="134"/>
      <c r="C302" s="137"/>
      <c r="D302" s="137"/>
      <c r="E302" s="137"/>
      <c r="F302" s="137"/>
      <c r="G302" s="136">
        <f t="shared" ref="G302" si="35">ROUND(IF(PRODUCT(IF(C302=0,1,C302),IF(D302=0,1,D302),IF(E302=0,1,E302),IF(F302=0,1,F302))=1,0,PRODUCT(IF(C302=0,1,C302),IF(D302=0,1,D302),IF(E302=0,1,E302),IF(F302=0,1,F302))),2)</f>
        <v>0</v>
      </c>
      <c r="H302" s="131"/>
    </row>
    <row r="303" spans="1:8" x14ac:dyDescent="0.3">
      <c r="A303" s="132"/>
      <c r="C303" s="139"/>
      <c r="D303" s="212"/>
      <c r="E303" s="140" t="s">
        <v>616</v>
      </c>
      <c r="F303" s="141" t="s">
        <v>617</v>
      </c>
      <c r="G303" s="142">
        <f>SUM(G301:G302)</f>
        <v>1261.8499999999999</v>
      </c>
      <c r="H303" s="143" t="s">
        <v>25</v>
      </c>
    </row>
    <row r="304" spans="1:8" ht="22.9" customHeight="1" x14ac:dyDescent="0.3">
      <c r="A304" s="132" t="e">
        <f>BASE!#REF!</f>
        <v>#REF!</v>
      </c>
      <c r="B304" s="294" t="e">
        <f>BASE!#REF!</f>
        <v>#REF!</v>
      </c>
      <c r="C304" s="295"/>
      <c r="D304" s="296"/>
      <c r="H304" s="131"/>
    </row>
    <row r="305" spans="1:8" x14ac:dyDescent="0.3">
      <c r="A305" s="132"/>
      <c r="B305" s="133" t="s">
        <v>612</v>
      </c>
      <c r="C305" s="133" t="s">
        <v>265</v>
      </c>
      <c r="D305" s="133" t="s">
        <v>613</v>
      </c>
      <c r="E305" s="133" t="s">
        <v>614</v>
      </c>
      <c r="F305" s="133" t="s">
        <v>615</v>
      </c>
      <c r="G305" s="133" t="s">
        <v>616</v>
      </c>
      <c r="H305" s="131"/>
    </row>
    <row r="306" spans="1:8" x14ac:dyDescent="0.3">
      <c r="A306" s="132"/>
      <c r="B306" s="134"/>
      <c r="C306" s="135"/>
      <c r="D306" s="135"/>
      <c r="E306" s="135"/>
      <c r="F306" s="135"/>
      <c r="G306" s="136">
        <f>ROUND(IF(PRODUCT(IF(C306=0,1,C306),IF(D306=0,1,D306),IF(E306=0,1,E306),IF(F306=0,1,F306))=1,0,PRODUCT(IF(C306=0,1,C306),IF(D306=0,1,D306),IF(E306=0,1,E306),IF(F306=0,1,F306))),2)</f>
        <v>0</v>
      </c>
      <c r="H306" s="131"/>
    </row>
    <row r="307" spans="1:8" x14ac:dyDescent="0.3">
      <c r="A307" s="132"/>
      <c r="B307" s="134"/>
      <c r="C307" s="137"/>
      <c r="D307" s="137"/>
      <c r="E307" s="137"/>
      <c r="F307" s="137"/>
      <c r="G307" s="136">
        <f t="shared" ref="G307" si="36">ROUND(IF(PRODUCT(IF(C307=0,1,C307),IF(D307=0,1,D307),IF(E307=0,1,E307),IF(F307=0,1,F307))=1,0,PRODUCT(IF(C307=0,1,C307),IF(D307=0,1,D307),IF(E307=0,1,E307),IF(F307=0,1,F307))),2)</f>
        <v>0</v>
      </c>
      <c r="H307" s="131"/>
    </row>
    <row r="308" spans="1:8" x14ac:dyDescent="0.3">
      <c r="A308" s="132"/>
      <c r="C308" s="139"/>
      <c r="D308" s="212"/>
      <c r="E308" s="140" t="s">
        <v>616</v>
      </c>
      <c r="F308" s="141" t="s">
        <v>617</v>
      </c>
      <c r="G308" s="142">
        <f>SUM(G306:G307)</f>
        <v>0</v>
      </c>
      <c r="H308" s="143" t="s">
        <v>25</v>
      </c>
    </row>
    <row r="309" spans="1:8" x14ac:dyDescent="0.3">
      <c r="A309" s="249" t="str">
        <f>BASE!A62</f>
        <v>6.0</v>
      </c>
      <c r="B309" s="250" t="str">
        <f>BASE!D62</f>
        <v>COBERTURA</v>
      </c>
      <c r="H309" s="131"/>
    </row>
    <row r="310" spans="1:8" x14ac:dyDescent="0.3">
      <c r="A310" s="251" t="str">
        <f>BASE!A63</f>
        <v>6.1</v>
      </c>
      <c r="B310" s="252" t="str">
        <f>BASE!D63</f>
        <v>REVISÃO</v>
      </c>
      <c r="H310" s="131"/>
    </row>
    <row r="311" spans="1:8" x14ac:dyDescent="0.3">
      <c r="A311" s="132" t="str">
        <f>BASE!A64</f>
        <v>6.1.1</v>
      </c>
      <c r="B311" s="294" t="str">
        <f>BASE!D64</f>
        <v xml:space="preserve">REVISÃO EM COBERTURA COM TELHA DE FIBROCIMENTO ONDULADA 4MM	</v>
      </c>
      <c r="C311" s="295"/>
      <c r="D311" s="296"/>
      <c r="H311" s="131"/>
    </row>
    <row r="312" spans="1:8" x14ac:dyDescent="0.3">
      <c r="A312" s="132"/>
      <c r="B312" s="133" t="s">
        <v>612</v>
      </c>
      <c r="C312" s="133" t="s">
        <v>618</v>
      </c>
      <c r="D312" s="133" t="s">
        <v>613</v>
      </c>
      <c r="E312" s="133" t="s">
        <v>614</v>
      </c>
      <c r="F312" s="133" t="s">
        <v>615</v>
      </c>
      <c r="G312" s="133" t="s">
        <v>616</v>
      </c>
      <c r="H312" s="131"/>
    </row>
    <row r="313" spans="1:8" x14ac:dyDescent="0.3">
      <c r="A313" s="132"/>
      <c r="B313" s="134"/>
      <c r="C313" s="135">
        <v>69.180000000000007</v>
      </c>
      <c r="D313" s="135"/>
      <c r="E313" s="135"/>
      <c r="F313" s="135"/>
      <c r="G313" s="136">
        <f>ROUND(IF(PRODUCT(IF(C313=0,1,C313),IF(D313=0,1,D313),IF(E313=0,1,E313),IF(F313=0,1,F313))=1,0,PRODUCT(IF(C313=0,1,C313),IF(D313=0,1,D313),IF(E313=0,1,E313),IF(F313=0,1,F313))),2)</f>
        <v>69.180000000000007</v>
      </c>
      <c r="H313" s="131"/>
    </row>
    <row r="314" spans="1:8" x14ac:dyDescent="0.3">
      <c r="A314" s="132"/>
      <c r="B314" s="134"/>
      <c r="C314" s="135">
        <v>104.96</v>
      </c>
      <c r="D314" s="135"/>
      <c r="E314" s="135"/>
      <c r="F314" s="135"/>
      <c r="G314" s="136">
        <f>ROUND(IF(PRODUCT(IF(C314=0,1,C314),IF(D314=0,1,D314),IF(E314=0,1,E314),IF(F314=0,1,F314))=1,0,PRODUCT(IF(C314=0,1,C314),IF(D314=0,1,D314),IF(E314=0,1,E314),IF(F314=0,1,F314))),2)</f>
        <v>104.96</v>
      </c>
      <c r="H314" s="131"/>
    </row>
    <row r="315" spans="1:8" x14ac:dyDescent="0.3">
      <c r="A315" s="132"/>
      <c r="B315" s="134"/>
      <c r="C315" s="137"/>
      <c r="D315" s="137"/>
      <c r="E315" s="137"/>
      <c r="F315" s="137"/>
      <c r="G315" s="136">
        <f t="shared" ref="G315" si="37">ROUND(IF(PRODUCT(IF(C315=0,1,C315),IF(D315=0,1,D315),IF(E315=0,1,E315),IF(F315=0,1,F315))=1,0,PRODUCT(IF(C315=0,1,C315),IF(D315=0,1,D315),IF(E315=0,1,E315),IF(F315=0,1,F315))),2)</f>
        <v>0</v>
      </c>
      <c r="H315" s="131"/>
    </row>
    <row r="316" spans="1:8" x14ac:dyDescent="0.3">
      <c r="A316" s="132"/>
      <c r="C316" s="139"/>
      <c r="D316" s="212"/>
      <c r="E316" s="140" t="s">
        <v>616</v>
      </c>
      <c r="F316" s="141" t="s">
        <v>617</v>
      </c>
      <c r="G316" s="142">
        <f>SUM(G313:G315)</f>
        <v>174.14</v>
      </c>
      <c r="H316" s="143" t="s">
        <v>25</v>
      </c>
    </row>
    <row r="317" spans="1:8" x14ac:dyDescent="0.3">
      <c r="A317" s="251" t="str">
        <f>BASE!A65</f>
        <v>6.2</v>
      </c>
      <c r="B317" s="252" t="str">
        <f>BASE!D65</f>
        <v>TELHAMENTO</v>
      </c>
      <c r="H317" s="131"/>
    </row>
    <row r="318" spans="1:8" x14ac:dyDescent="0.3">
      <c r="A318" s="132" t="str">
        <f>BASE!A66</f>
        <v>6.2.1</v>
      </c>
      <c r="B318" s="294" t="str">
        <f>BASE!D66</f>
        <v>ANDAIME METÁLICO FACHADEIRO - LOCAÇÃO MENSAL , MONTAGEM E DESMONTAGEM</v>
      </c>
      <c r="C318" s="295"/>
      <c r="D318" s="296"/>
      <c r="H318" s="131"/>
    </row>
    <row r="319" spans="1:8" x14ac:dyDescent="0.3">
      <c r="A319" s="132"/>
      <c r="B319" s="133" t="s">
        <v>612</v>
      </c>
      <c r="C319" s="133" t="s">
        <v>265</v>
      </c>
      <c r="D319" s="133" t="s">
        <v>613</v>
      </c>
      <c r="E319" s="133" t="s">
        <v>614</v>
      </c>
      <c r="F319" s="133" t="s">
        <v>615</v>
      </c>
      <c r="G319" s="133" t="s">
        <v>616</v>
      </c>
      <c r="H319" s="131"/>
    </row>
    <row r="320" spans="1:8" x14ac:dyDescent="0.3">
      <c r="A320" s="132"/>
      <c r="B320" s="134" t="s">
        <v>648</v>
      </c>
      <c r="C320" s="135"/>
      <c r="D320" s="135">
        <v>42.7</v>
      </c>
      <c r="E320" s="135">
        <v>21.8</v>
      </c>
      <c r="F320" s="135"/>
      <c r="G320" s="136">
        <f>ROUND(IF(PRODUCT(IF(C320=0,1,C320),IF(D320=0,1,D320),IF(E320=0,1,E320),IF(F320=0,1,F320))=1,0,PRODUCT(IF(C320=0,1,C320),IF(D320=0,1,D320),IF(E320=0,1,E320),IF(F320=0,1,F320))),2)</f>
        <v>930.86</v>
      </c>
      <c r="H320" s="131"/>
    </row>
    <row r="321" spans="1:8" x14ac:dyDescent="0.3">
      <c r="A321" s="132"/>
      <c r="B321" s="134"/>
      <c r="C321" s="137"/>
      <c r="D321" s="137"/>
      <c r="E321" s="137"/>
      <c r="F321" s="137"/>
      <c r="G321" s="136">
        <f t="shared" ref="G321" si="38">ROUND(IF(PRODUCT(IF(C321=0,1,C321),IF(D321=0,1,D321),IF(E321=0,1,E321),IF(F321=0,1,F321))=1,0,PRODUCT(IF(C321=0,1,C321),IF(D321=0,1,D321),IF(E321=0,1,E321),IF(F321=0,1,F321))),2)</f>
        <v>0</v>
      </c>
      <c r="H321" s="131"/>
    </row>
    <row r="322" spans="1:8" x14ac:dyDescent="0.3">
      <c r="A322" s="132"/>
      <c r="C322" s="139"/>
      <c r="D322" s="212"/>
      <c r="E322" s="140" t="s">
        <v>616</v>
      </c>
      <c r="F322" s="141" t="s">
        <v>617</v>
      </c>
      <c r="G322" s="142">
        <f>SUM(G320:G321)</f>
        <v>930.86</v>
      </c>
      <c r="H322" s="143" t="str">
        <f>BASE!E66</f>
        <v>m² x mês</v>
      </c>
    </row>
    <row r="323" spans="1:8" ht="22.9" customHeight="1" x14ac:dyDescent="0.3">
      <c r="A323" s="132" t="str">
        <f>BASE!A67</f>
        <v>6.2.2</v>
      </c>
      <c r="B323" s="294" t="str">
        <f>BASE!D67</f>
        <v>TELHAMENTO COM TELHA DE AÇO/ALUMÍNIO E = 0,5 MM, COM ATÉ 2 ÁGUAS, INCLUSO IÇAMENTO. AF_07/2019</v>
      </c>
      <c r="C323" s="295"/>
      <c r="D323" s="296"/>
      <c r="H323" s="131"/>
    </row>
    <row r="324" spans="1:8" x14ac:dyDescent="0.3">
      <c r="A324" s="132"/>
      <c r="B324" s="133" t="s">
        <v>612</v>
      </c>
      <c r="C324" s="133" t="s">
        <v>265</v>
      </c>
      <c r="D324" s="133" t="s">
        <v>613</v>
      </c>
      <c r="E324" s="133" t="s">
        <v>614</v>
      </c>
      <c r="F324" s="133" t="s">
        <v>615</v>
      </c>
      <c r="G324" s="133" t="s">
        <v>616</v>
      </c>
      <c r="H324" s="131"/>
    </row>
    <row r="325" spans="1:8" x14ac:dyDescent="0.3">
      <c r="A325" s="132"/>
      <c r="B325" s="134"/>
      <c r="C325" s="135"/>
      <c r="D325" s="135">
        <v>42.7</v>
      </c>
      <c r="E325" s="135">
        <v>21.8</v>
      </c>
      <c r="F325" s="135"/>
      <c r="G325" s="136">
        <f>ROUND(IF(PRODUCT(IF(C325=0,1,C325),IF(D325=0,1,D325),IF(E325=0,1,E325),IF(F325=0,1,F325))=1,0,PRODUCT(IF(C325=0,1,C325),IF(D325=0,1,D325),IF(E325=0,1,E325),IF(F325=0,1,F325))),2)</f>
        <v>930.86</v>
      </c>
      <c r="H325" s="131"/>
    </row>
    <row r="326" spans="1:8" x14ac:dyDescent="0.3">
      <c r="A326" s="132"/>
      <c r="B326" s="134"/>
      <c r="C326" s="137"/>
      <c r="D326" s="137"/>
      <c r="E326" s="137"/>
      <c r="F326" s="137"/>
      <c r="G326" s="136">
        <f t="shared" ref="G326" si="39">ROUND(IF(PRODUCT(IF(C326=0,1,C326),IF(D326=0,1,D326),IF(E326=0,1,E326),IF(F326=0,1,F326))=1,0,PRODUCT(IF(C326=0,1,C326),IF(D326=0,1,D326),IF(E326=0,1,E326),IF(F326=0,1,F326))),2)</f>
        <v>0</v>
      </c>
      <c r="H326" s="131"/>
    </row>
    <row r="327" spans="1:8" x14ac:dyDescent="0.3">
      <c r="A327" s="132"/>
      <c r="C327" s="139"/>
      <c r="D327" s="212"/>
      <c r="E327" s="140" t="s">
        <v>616</v>
      </c>
      <c r="F327" s="141" t="s">
        <v>617</v>
      </c>
      <c r="G327" s="142">
        <f>SUM(G325:G326)</f>
        <v>930.86</v>
      </c>
      <c r="H327" s="143" t="s">
        <v>25</v>
      </c>
    </row>
    <row r="328" spans="1:8" x14ac:dyDescent="0.3">
      <c r="A328" s="249" t="str">
        <f>BASE!A68</f>
        <v>7.0</v>
      </c>
      <c r="B328" s="250" t="str">
        <f>BASE!D68</f>
        <v>ESQUADRIAS E GRADIL</v>
      </c>
      <c r="H328" s="131"/>
    </row>
    <row r="329" spans="1:8" x14ac:dyDescent="0.3">
      <c r="A329" s="251" t="str">
        <f>BASE!A69</f>
        <v>7.1</v>
      </c>
      <c r="B329" s="252" t="str">
        <f>BASE!D69</f>
        <v>REVISÃO</v>
      </c>
      <c r="H329" s="131"/>
    </row>
    <row r="330" spans="1:8" x14ac:dyDescent="0.3">
      <c r="A330" s="132" t="str">
        <f>BASE!A70</f>
        <v>7.1.1</v>
      </c>
      <c r="B330" s="294" t="str">
        <f>BASE!D70</f>
        <v xml:space="preserve">REVISÃO DE ESQUADRIA DE MADEIRA </v>
      </c>
      <c r="C330" s="295"/>
      <c r="D330" s="296"/>
      <c r="H330" s="131"/>
    </row>
    <row r="331" spans="1:8" x14ac:dyDescent="0.3">
      <c r="A331" s="132"/>
      <c r="B331" s="133" t="s">
        <v>612</v>
      </c>
      <c r="C331" s="133" t="s">
        <v>265</v>
      </c>
      <c r="D331" s="133" t="s">
        <v>613</v>
      </c>
      <c r="E331" s="133" t="s">
        <v>614</v>
      </c>
      <c r="F331" s="133" t="s">
        <v>615</v>
      </c>
      <c r="G331" s="133" t="s">
        <v>616</v>
      </c>
      <c r="H331" s="131"/>
    </row>
    <row r="332" spans="1:8" x14ac:dyDescent="0.3">
      <c r="A332" s="132"/>
      <c r="B332" s="134"/>
      <c r="C332" s="135">
        <v>8</v>
      </c>
      <c r="D332" s="135"/>
      <c r="E332" s="135">
        <v>0.7</v>
      </c>
      <c r="F332" s="135">
        <v>2.1</v>
      </c>
      <c r="G332" s="136">
        <f>ROUND(IF(PRODUCT(IF(C332=0,1,C332),IF(D332=0,1,D332),IF(E332=0,1,E332),IF(F332=0,1,F332))=1,0,PRODUCT(IF(C332=0,1,C332),IF(D332=0,1,D332),IF(E332=0,1,E332),IF(F332=0,1,F332))),2)</f>
        <v>11.76</v>
      </c>
      <c r="H332" s="131"/>
    </row>
    <row r="333" spans="1:8" x14ac:dyDescent="0.3">
      <c r="A333" s="132"/>
      <c r="B333" s="134"/>
      <c r="C333" s="137"/>
      <c r="D333" s="137"/>
      <c r="E333" s="137"/>
      <c r="F333" s="137"/>
      <c r="G333" s="136">
        <f t="shared" ref="G333" si="40">ROUND(IF(PRODUCT(IF(C333=0,1,C333),IF(D333=0,1,D333),IF(E333=0,1,E333),IF(F333=0,1,F333))=1,0,PRODUCT(IF(C333=0,1,C333),IF(D333=0,1,D333),IF(E333=0,1,E333),IF(F333=0,1,F333))),2)</f>
        <v>0</v>
      </c>
      <c r="H333" s="131"/>
    </row>
    <row r="334" spans="1:8" x14ac:dyDescent="0.3">
      <c r="A334" s="132"/>
      <c r="C334" s="139"/>
      <c r="D334" s="212"/>
      <c r="E334" s="140" t="s">
        <v>616</v>
      </c>
      <c r="F334" s="141" t="s">
        <v>617</v>
      </c>
      <c r="G334" s="142">
        <f>SUM(G332:G333)</f>
        <v>11.76</v>
      </c>
      <c r="H334" s="143" t="s">
        <v>25</v>
      </c>
    </row>
    <row r="335" spans="1:8" x14ac:dyDescent="0.3">
      <c r="A335" s="132" t="str">
        <f>BASE!A71</f>
        <v>7.1.2</v>
      </c>
      <c r="B335" s="294" t="str">
        <f>BASE!D71</f>
        <v>REVISÃO DE ESQUADRIA DE FERRO</v>
      </c>
      <c r="C335" s="295"/>
      <c r="D335" s="296"/>
      <c r="H335" s="131"/>
    </row>
    <row r="336" spans="1:8" x14ac:dyDescent="0.3">
      <c r="A336" s="132"/>
      <c r="B336" s="133" t="s">
        <v>612</v>
      </c>
      <c r="C336" s="133" t="s">
        <v>265</v>
      </c>
      <c r="D336" s="133" t="s">
        <v>613</v>
      </c>
      <c r="E336" s="133" t="s">
        <v>614</v>
      </c>
      <c r="F336" s="133" t="s">
        <v>615</v>
      </c>
      <c r="G336" s="133" t="s">
        <v>616</v>
      </c>
      <c r="H336" s="131"/>
    </row>
    <row r="337" spans="1:8" x14ac:dyDescent="0.3">
      <c r="A337" s="132"/>
      <c r="B337" s="134"/>
      <c r="C337" s="135">
        <v>3</v>
      </c>
      <c r="D337" s="135"/>
      <c r="E337" s="135">
        <v>0.8</v>
      </c>
      <c r="F337" s="135">
        <v>2.1</v>
      </c>
      <c r="G337" s="136">
        <f>ROUND(IF(PRODUCT(IF(C337=0,1,C337),IF(D337=0,1,D337),IF(E337=0,1,E337),IF(F337=0,1,F337))=1,0,PRODUCT(IF(C337=0,1,C337),IF(D337=0,1,D337),IF(E337=0,1,E337),IF(F337=0,1,F337))),2)</f>
        <v>5.04</v>
      </c>
      <c r="H337" s="131"/>
    </row>
    <row r="338" spans="1:8" x14ac:dyDescent="0.3">
      <c r="A338" s="132"/>
      <c r="B338" s="134"/>
      <c r="C338" s="137"/>
      <c r="D338" s="137"/>
      <c r="E338" s="137"/>
      <c r="F338" s="137"/>
      <c r="G338" s="136">
        <f t="shared" ref="G338" si="41">ROUND(IF(PRODUCT(IF(C338=0,1,C338),IF(D338=0,1,D338),IF(E338=0,1,E338),IF(F338=0,1,F338))=1,0,PRODUCT(IF(C338=0,1,C338),IF(D338=0,1,D338),IF(E338=0,1,E338),IF(F338=0,1,F338))),2)</f>
        <v>0</v>
      </c>
      <c r="H338" s="131"/>
    </row>
    <row r="339" spans="1:8" x14ac:dyDescent="0.3">
      <c r="A339" s="132"/>
      <c r="C339" s="139"/>
      <c r="D339" s="212"/>
      <c r="E339" s="140" t="s">
        <v>616</v>
      </c>
      <c r="F339" s="141" t="s">
        <v>617</v>
      </c>
      <c r="G339" s="142">
        <f>SUM(G337:G338)</f>
        <v>5.04</v>
      </c>
      <c r="H339" s="143" t="s">
        <v>25</v>
      </c>
    </row>
    <row r="340" spans="1:8" x14ac:dyDescent="0.3">
      <c r="A340" s="251" t="str">
        <f>BASE!A72</f>
        <v>7.2</v>
      </c>
      <c r="B340" s="252" t="str">
        <f>BASE!D72</f>
        <v>GRADIL LATERAL</v>
      </c>
      <c r="H340" s="131"/>
    </row>
    <row r="341" spans="1:8" x14ac:dyDescent="0.3">
      <c r="A341" s="132" t="str">
        <f>BASE!A73</f>
        <v>7.2.1</v>
      </c>
      <c r="B341" s="294" t="str">
        <f>BASE!D73</f>
        <v>GRADIL COM QUADRO EM TUBO DE FERRO GALVANIZADO 1 1/4" E TELA GALVANIZADA MALHA 2"</v>
      </c>
      <c r="C341" s="295"/>
      <c r="D341" s="296"/>
      <c r="H341" s="131"/>
    </row>
    <row r="342" spans="1:8" x14ac:dyDescent="0.3">
      <c r="A342" s="132"/>
      <c r="B342" s="133" t="s">
        <v>612</v>
      </c>
      <c r="C342" s="133" t="s">
        <v>265</v>
      </c>
      <c r="D342" s="133" t="s">
        <v>613</v>
      </c>
      <c r="E342" s="133" t="s">
        <v>614</v>
      </c>
      <c r="F342" s="133" t="s">
        <v>615</v>
      </c>
      <c r="G342" s="133" t="s">
        <v>616</v>
      </c>
      <c r="H342" s="131"/>
    </row>
    <row r="343" spans="1:8" x14ac:dyDescent="0.3">
      <c r="A343" s="132"/>
      <c r="B343" s="134"/>
      <c r="C343" s="135"/>
      <c r="D343" s="135">
        <v>184.8</v>
      </c>
      <c r="E343" s="135"/>
      <c r="F343" s="135">
        <v>2</v>
      </c>
      <c r="G343" s="136">
        <f>ROUND(IF(PRODUCT(IF(C343=0,1,C343),IF(D343=0,1,D343),IF(E343=0,1,E343),IF(F343=0,1,F343))=1,0,PRODUCT(IF(C343=0,1,C343),IF(D343=0,1,D343),IF(E343=0,1,E343),IF(F343=0,1,F343))),2)</f>
        <v>369.6</v>
      </c>
      <c r="H343" s="131"/>
    </row>
    <row r="344" spans="1:8" x14ac:dyDescent="0.3">
      <c r="A344" s="132"/>
      <c r="B344" s="134"/>
      <c r="C344" s="137"/>
      <c r="D344" s="137"/>
      <c r="E344" s="137"/>
      <c r="F344" s="137"/>
      <c r="G344" s="136">
        <f t="shared" ref="G344" si="42">ROUND(IF(PRODUCT(IF(C344=0,1,C344),IF(D344=0,1,D344),IF(E344=0,1,E344),IF(F344=0,1,F344))=1,0,PRODUCT(IF(C344=0,1,C344),IF(D344=0,1,D344),IF(E344=0,1,E344),IF(F344=0,1,F344))),2)</f>
        <v>0</v>
      </c>
      <c r="H344" s="131"/>
    </row>
    <row r="345" spans="1:8" x14ac:dyDescent="0.3">
      <c r="A345" s="132"/>
      <c r="C345" s="139"/>
      <c r="D345" s="212"/>
      <c r="E345" s="140" t="s">
        <v>616</v>
      </c>
      <c r="F345" s="141" t="s">
        <v>617</v>
      </c>
      <c r="G345" s="142">
        <f>SUM(G343:G344)</f>
        <v>369.6</v>
      </c>
      <c r="H345" s="143" t="s">
        <v>25</v>
      </c>
    </row>
    <row r="346" spans="1:8" x14ac:dyDescent="0.3">
      <c r="A346" s="251" t="str">
        <f>BASE!A74</f>
        <v>7.3</v>
      </c>
      <c r="B346" s="252" t="str">
        <f>BASE!D74</f>
        <v>GRADIL FRONTAL</v>
      </c>
      <c r="H346" s="131"/>
    </row>
    <row r="347" spans="1:8" ht="22.9" customHeight="1" x14ac:dyDescent="0.3">
      <c r="A347" s="132" t="str">
        <f>BASE!A75</f>
        <v>7.3.1</v>
      </c>
      <c r="B347" s="294" t="str">
        <f>BASE!D75</f>
        <v>GRADIL NYLOFOR 3D, MALHA 20X5CM, Ø 5MM 250X243 CM, PINTURA BRANCA, VERDE E PRETA, BELGO OU SIMILAR, INCLUSIVE POSTES (SECÇÃO 60X40MM E H=3,20M) E ACESSÓRIOS</v>
      </c>
      <c r="C347" s="295"/>
      <c r="D347" s="296"/>
      <c r="H347" s="131"/>
    </row>
    <row r="348" spans="1:8" x14ac:dyDescent="0.3">
      <c r="A348" s="132"/>
      <c r="B348" s="133" t="s">
        <v>612</v>
      </c>
      <c r="C348" s="133" t="s">
        <v>265</v>
      </c>
      <c r="D348" s="133" t="s">
        <v>613</v>
      </c>
      <c r="E348" s="133" t="s">
        <v>614</v>
      </c>
      <c r="F348" s="133" t="s">
        <v>615</v>
      </c>
      <c r="G348" s="133" t="s">
        <v>616</v>
      </c>
      <c r="H348" s="131"/>
    </row>
    <row r="349" spans="1:8" x14ac:dyDescent="0.3">
      <c r="A349" s="132"/>
      <c r="B349" s="134" t="s">
        <v>649</v>
      </c>
      <c r="C349" s="135"/>
      <c r="D349" s="135">
        <f>53.8+14.5+7.5</f>
        <v>75.8</v>
      </c>
      <c r="E349" s="135"/>
      <c r="F349" s="135">
        <v>1.5</v>
      </c>
      <c r="G349" s="136">
        <f>ROUND(IF(PRODUCT(IF(C349=0,1,C349),IF(D349=0,1,D349),IF(E349=0,1,E349),IF(F349=0,1,F349))=1,0,PRODUCT(IF(C349=0,1,C349),IF(D349=0,1,D349),IF(E349=0,1,E349),IF(F349=0,1,F349))),2)</f>
        <v>113.7</v>
      </c>
      <c r="H349" s="131"/>
    </row>
    <row r="350" spans="1:8" x14ac:dyDescent="0.3">
      <c r="A350" s="132"/>
      <c r="B350" s="134"/>
      <c r="C350" s="137"/>
      <c r="D350" s="137"/>
      <c r="E350" s="137"/>
      <c r="F350" s="137"/>
      <c r="G350" s="136">
        <f t="shared" ref="G350" si="43">ROUND(IF(PRODUCT(IF(C350=0,1,C350),IF(D350=0,1,D350),IF(E350=0,1,E350),IF(F350=0,1,F350))=1,0,PRODUCT(IF(C350=0,1,C350),IF(D350=0,1,D350),IF(E350=0,1,E350),IF(F350=0,1,F350))),2)</f>
        <v>0</v>
      </c>
      <c r="H350" s="131"/>
    </row>
    <row r="351" spans="1:8" x14ac:dyDescent="0.3">
      <c r="A351" s="132"/>
      <c r="C351" s="139"/>
      <c r="D351" s="212"/>
      <c r="E351" s="140" t="s">
        <v>616</v>
      </c>
      <c r="F351" s="141" t="s">
        <v>617</v>
      </c>
      <c r="G351" s="142">
        <f>SUM(G349:G350)</f>
        <v>113.7</v>
      </c>
      <c r="H351" s="143" t="s">
        <v>25</v>
      </c>
    </row>
    <row r="352" spans="1:8" x14ac:dyDescent="0.3">
      <c r="A352" s="132" t="str">
        <f>BASE!A76</f>
        <v>7.3.2</v>
      </c>
      <c r="B352" s="294" t="str">
        <f>BASE!D76</f>
        <v xml:space="preserve">PORTÃO EM FERRO, EM GRADIL METÁLICO, PADRÃO BELGO OU EQUIVALENTE, DE CORRER	</v>
      </c>
      <c r="C352" s="295"/>
      <c r="D352" s="296"/>
      <c r="H352" s="131"/>
    </row>
    <row r="353" spans="1:8" x14ac:dyDescent="0.3">
      <c r="A353" s="132"/>
      <c r="B353" s="133" t="s">
        <v>612</v>
      </c>
      <c r="C353" s="133" t="s">
        <v>265</v>
      </c>
      <c r="D353" s="133" t="s">
        <v>613</v>
      </c>
      <c r="E353" s="133" t="s">
        <v>614</v>
      </c>
      <c r="F353" s="133" t="s">
        <v>615</v>
      </c>
      <c r="G353" s="133" t="s">
        <v>616</v>
      </c>
      <c r="H353" s="131"/>
    </row>
    <row r="354" spans="1:8" x14ac:dyDescent="0.3">
      <c r="A354" s="132"/>
      <c r="B354" s="134"/>
      <c r="C354" s="135"/>
      <c r="D354" s="135"/>
      <c r="E354" s="135">
        <v>3</v>
      </c>
      <c r="F354" s="135">
        <v>2</v>
      </c>
      <c r="G354" s="136">
        <f>ROUND(IF(PRODUCT(IF(C354=0,1,C354),IF(D354=0,1,D354),IF(E354=0,1,E354),IF(F354=0,1,F354))=1,0,PRODUCT(IF(C354=0,1,C354),IF(D354=0,1,D354),IF(E354=0,1,E354),IF(F354=0,1,F354))),2)</f>
        <v>6</v>
      </c>
      <c r="H354" s="131"/>
    </row>
    <row r="355" spans="1:8" x14ac:dyDescent="0.3">
      <c r="A355" s="132"/>
      <c r="B355" s="134"/>
      <c r="C355" s="137"/>
      <c r="D355" s="137"/>
      <c r="E355" s="137"/>
      <c r="F355" s="137"/>
      <c r="G355" s="136">
        <f t="shared" ref="G355" si="44">ROUND(IF(PRODUCT(IF(C355=0,1,C355),IF(D355=0,1,D355),IF(E355=0,1,E355),IF(F355=0,1,F355))=1,0,PRODUCT(IF(C355=0,1,C355),IF(D355=0,1,D355),IF(E355=0,1,E355),IF(F355=0,1,F355))),2)</f>
        <v>0</v>
      </c>
      <c r="H355" s="131"/>
    </row>
    <row r="356" spans="1:8" x14ac:dyDescent="0.3">
      <c r="A356" s="132"/>
      <c r="C356" s="139"/>
      <c r="D356" s="212"/>
      <c r="E356" s="140" t="s">
        <v>616</v>
      </c>
      <c r="F356" s="141" t="s">
        <v>617</v>
      </c>
      <c r="G356" s="142">
        <f>SUM(G354:G355)</f>
        <v>6</v>
      </c>
      <c r="H356" s="143" t="s">
        <v>25</v>
      </c>
    </row>
    <row r="357" spans="1:8" x14ac:dyDescent="0.3">
      <c r="A357" s="249" t="str">
        <f>BASE!A77</f>
        <v>8.0</v>
      </c>
      <c r="B357" s="250" t="str">
        <f>BASE!D77</f>
        <v xml:space="preserve">INSTALAÇÕES ELETRICAS E ILUMINAÇÃO </v>
      </c>
      <c r="H357" s="131"/>
    </row>
    <row r="358" spans="1:8" x14ac:dyDescent="0.3">
      <c r="A358" s="251" t="str">
        <f>BASE!A78</f>
        <v>8.1</v>
      </c>
      <c r="B358" s="252" t="str">
        <f>BASE!D78</f>
        <v>REVISÃO</v>
      </c>
      <c r="H358" s="131"/>
    </row>
    <row r="359" spans="1:8" x14ac:dyDescent="0.3">
      <c r="A359" s="132" t="str">
        <f>BASE!A79</f>
        <v>8.1.1</v>
      </c>
      <c r="B359" s="294" t="str">
        <f>BASE!D79</f>
        <v xml:space="preserve">REVISÃO DE PONTO DE INTERRUPTOR COM REPOSIÇÃO DO INTERRUPTOR E FIAÇÃO	</v>
      </c>
      <c r="C359" s="295"/>
      <c r="D359" s="296"/>
      <c r="H359" s="131"/>
    </row>
    <row r="360" spans="1:8" x14ac:dyDescent="0.3">
      <c r="A360" s="132"/>
      <c r="B360" s="133" t="s">
        <v>612</v>
      </c>
      <c r="C360" s="133" t="s">
        <v>265</v>
      </c>
      <c r="D360" s="133" t="s">
        <v>613</v>
      </c>
      <c r="E360" s="133" t="s">
        <v>614</v>
      </c>
      <c r="F360" s="133" t="s">
        <v>615</v>
      </c>
      <c r="G360" s="133" t="s">
        <v>616</v>
      </c>
      <c r="H360" s="131"/>
    </row>
    <row r="361" spans="1:8" x14ac:dyDescent="0.3">
      <c r="A361" s="132"/>
      <c r="B361" s="134"/>
      <c r="C361" s="135">
        <v>12</v>
      </c>
      <c r="D361" s="135"/>
      <c r="E361" s="135"/>
      <c r="F361" s="135"/>
      <c r="G361" s="136">
        <f>ROUND(IF(PRODUCT(IF(C361=0,1,C361),IF(D361=0,1,D361),IF(E361=0,1,E361),IF(F361=0,1,F361))=1,0,PRODUCT(IF(C361=0,1,C361),IF(D361=0,1,D361),IF(E361=0,1,E361),IF(F361=0,1,F361))),2)</f>
        <v>12</v>
      </c>
      <c r="H361" s="131"/>
    </row>
    <row r="362" spans="1:8" x14ac:dyDescent="0.3">
      <c r="A362" s="132"/>
      <c r="B362" s="134"/>
      <c r="C362" s="137"/>
      <c r="D362" s="137"/>
      <c r="E362" s="137"/>
      <c r="F362" s="137"/>
      <c r="G362" s="136">
        <f t="shared" ref="G362" si="45">ROUND(IF(PRODUCT(IF(C362=0,1,C362),IF(D362=0,1,D362),IF(E362=0,1,E362),IF(F362=0,1,F362))=1,0,PRODUCT(IF(C362=0,1,C362),IF(D362=0,1,D362),IF(E362=0,1,E362),IF(F362=0,1,F362))),2)</f>
        <v>0</v>
      </c>
      <c r="H362" s="131"/>
    </row>
    <row r="363" spans="1:8" x14ac:dyDescent="0.3">
      <c r="A363" s="132"/>
      <c r="C363" s="139"/>
      <c r="D363" s="212"/>
      <c r="E363" s="140" t="s">
        <v>616</v>
      </c>
      <c r="F363" s="141" t="s">
        <v>617</v>
      </c>
      <c r="G363" s="142">
        <f>SUM(G361:G362)</f>
        <v>12</v>
      </c>
      <c r="H363" s="143" t="s">
        <v>183</v>
      </c>
    </row>
    <row r="364" spans="1:8" x14ac:dyDescent="0.3">
      <c r="A364" s="132" t="str">
        <f>BASE!A80</f>
        <v>8.1.2</v>
      </c>
      <c r="B364" s="294" t="str">
        <f>BASE!D80</f>
        <v>REVISÃO DE PONTO DE LUZ TIPO 2, EM TETO OU PAREDE</v>
      </c>
      <c r="C364" s="295"/>
      <c r="D364" s="296"/>
      <c r="H364" s="131"/>
    </row>
    <row r="365" spans="1:8" x14ac:dyDescent="0.3">
      <c r="A365" s="132"/>
      <c r="B365" s="133" t="s">
        <v>612</v>
      </c>
      <c r="C365" s="133" t="s">
        <v>265</v>
      </c>
      <c r="D365" s="133" t="s">
        <v>613</v>
      </c>
      <c r="E365" s="133" t="s">
        <v>614</v>
      </c>
      <c r="F365" s="133" t="s">
        <v>615</v>
      </c>
      <c r="G365" s="133" t="s">
        <v>616</v>
      </c>
      <c r="H365" s="131"/>
    </row>
    <row r="366" spans="1:8" x14ac:dyDescent="0.3">
      <c r="A366" s="132"/>
      <c r="B366" s="134"/>
      <c r="C366" s="135">
        <v>20</v>
      </c>
      <c r="D366" s="135"/>
      <c r="E366" s="135"/>
      <c r="F366" s="135"/>
      <c r="G366" s="136">
        <f>ROUND(IF(PRODUCT(IF(C366=0,1,C366),IF(D366=0,1,D366),IF(E366=0,1,E366),IF(F366=0,1,F366))=1,0,PRODUCT(IF(C366=0,1,C366),IF(D366=0,1,D366),IF(E366=0,1,E366),IF(F366=0,1,F366))),2)</f>
        <v>20</v>
      </c>
      <c r="H366" s="131"/>
    </row>
    <row r="367" spans="1:8" x14ac:dyDescent="0.3">
      <c r="A367" s="132"/>
      <c r="B367" s="134"/>
      <c r="C367" s="137"/>
      <c r="D367" s="137"/>
      <c r="E367" s="137"/>
      <c r="F367" s="137"/>
      <c r="G367" s="136">
        <f t="shared" ref="G367" si="46">ROUND(IF(PRODUCT(IF(C367=0,1,C367),IF(D367=0,1,D367),IF(E367=0,1,E367),IF(F367=0,1,F367))=1,0,PRODUCT(IF(C367=0,1,C367),IF(D367=0,1,D367),IF(E367=0,1,E367),IF(F367=0,1,F367))),2)</f>
        <v>0</v>
      </c>
      <c r="H367" s="131"/>
    </row>
    <row r="368" spans="1:8" x14ac:dyDescent="0.3">
      <c r="A368" s="132"/>
      <c r="C368" s="139"/>
      <c r="D368" s="212"/>
      <c r="E368" s="140" t="s">
        <v>616</v>
      </c>
      <c r="F368" s="141" t="s">
        <v>617</v>
      </c>
      <c r="G368" s="142">
        <f>SUM(G366:G367)</f>
        <v>20</v>
      </c>
      <c r="H368" s="143" t="s">
        <v>183</v>
      </c>
    </row>
    <row r="369" spans="1:8" x14ac:dyDescent="0.3">
      <c r="A369" s="132" t="str">
        <f>BASE!A81</f>
        <v>8.1.3</v>
      </c>
      <c r="B369" s="294" t="str">
        <f>BASE!D81</f>
        <v>REVISÃO DE PONTO DE TOMADA SIMPLES COM REPOSIÇÃO DA TOMADA E DA FIAÇÃO</v>
      </c>
      <c r="C369" s="295"/>
      <c r="D369" s="296"/>
      <c r="H369" s="131"/>
    </row>
    <row r="370" spans="1:8" x14ac:dyDescent="0.3">
      <c r="A370" s="132"/>
      <c r="B370" s="133" t="s">
        <v>612</v>
      </c>
      <c r="C370" s="133" t="s">
        <v>265</v>
      </c>
      <c r="D370" s="133" t="s">
        <v>613</v>
      </c>
      <c r="E370" s="133" t="s">
        <v>614</v>
      </c>
      <c r="F370" s="133" t="s">
        <v>615</v>
      </c>
      <c r="G370" s="133" t="s">
        <v>616</v>
      </c>
      <c r="H370" s="131"/>
    </row>
    <row r="371" spans="1:8" x14ac:dyDescent="0.3">
      <c r="A371" s="132"/>
      <c r="B371" s="134"/>
      <c r="C371" s="135">
        <v>10</v>
      </c>
      <c r="D371" s="135"/>
      <c r="E371" s="135"/>
      <c r="F371" s="135"/>
      <c r="G371" s="136">
        <f>ROUND(IF(PRODUCT(IF(C371=0,1,C371),IF(D371=0,1,D371),IF(E371=0,1,E371),IF(F371=0,1,F371))=1,0,PRODUCT(IF(C371=0,1,C371),IF(D371=0,1,D371),IF(E371=0,1,E371),IF(F371=0,1,F371))),2)</f>
        <v>10</v>
      </c>
      <c r="H371" s="131"/>
    </row>
    <row r="372" spans="1:8" x14ac:dyDescent="0.3">
      <c r="A372" s="132"/>
      <c r="B372" s="134"/>
      <c r="C372" s="137"/>
      <c r="D372" s="137"/>
      <c r="E372" s="137"/>
      <c r="F372" s="137"/>
      <c r="G372" s="136">
        <f t="shared" ref="G372" si="47">ROUND(IF(PRODUCT(IF(C372=0,1,C372),IF(D372=0,1,D372),IF(E372=0,1,E372),IF(F372=0,1,F372))=1,0,PRODUCT(IF(C372=0,1,C372),IF(D372=0,1,D372),IF(E372=0,1,E372),IF(F372=0,1,F372))),2)</f>
        <v>0</v>
      </c>
      <c r="H372" s="131"/>
    </row>
    <row r="373" spans="1:8" x14ac:dyDescent="0.3">
      <c r="A373" s="132"/>
      <c r="C373" s="139"/>
      <c r="D373" s="212"/>
      <c r="E373" s="140" t="s">
        <v>616</v>
      </c>
      <c r="F373" s="141" t="s">
        <v>617</v>
      </c>
      <c r="G373" s="142">
        <f>SUM(G371:G372)</f>
        <v>10</v>
      </c>
      <c r="H373" s="143" t="s">
        <v>183</v>
      </c>
    </row>
    <row r="374" spans="1:8" x14ac:dyDescent="0.3">
      <c r="A374" s="251" t="str">
        <f>BASE!A82</f>
        <v>8.2</v>
      </c>
      <c r="B374" s="252" t="str">
        <f>BASE!D82</f>
        <v>INSTALAÇÕES NOVAS</v>
      </c>
      <c r="H374" s="131"/>
    </row>
    <row r="375" spans="1:8" x14ac:dyDescent="0.3">
      <c r="A375" s="132" t="str">
        <f>BASE!A83</f>
        <v>8.2.1</v>
      </c>
      <c r="B375" s="294" t="str">
        <f>BASE!D83</f>
        <v>ELETRODUTO RÍGIDO ROSCÁVEL, PVC, DN 50 MM (1 1/2") - FORNECIMENTO E INSTALAÇÃO. AF_12/2015</v>
      </c>
      <c r="C375" s="295"/>
      <c r="D375" s="296"/>
      <c r="H375" s="131"/>
    </row>
    <row r="376" spans="1:8" x14ac:dyDescent="0.3">
      <c r="A376" s="132"/>
      <c r="B376" s="133" t="s">
        <v>612</v>
      </c>
      <c r="C376" s="133" t="s">
        <v>265</v>
      </c>
      <c r="D376" s="133" t="s">
        <v>613</v>
      </c>
      <c r="E376" s="133" t="s">
        <v>614</v>
      </c>
      <c r="F376" s="133" t="s">
        <v>615</v>
      </c>
      <c r="G376" s="133" t="s">
        <v>616</v>
      </c>
      <c r="H376" s="131"/>
    </row>
    <row r="377" spans="1:8" x14ac:dyDescent="0.3">
      <c r="A377" s="132"/>
      <c r="B377" s="134" t="s">
        <v>650</v>
      </c>
      <c r="C377" s="135"/>
      <c r="D377" s="135">
        <v>600</v>
      </c>
      <c r="E377" s="135"/>
      <c r="F377" s="135"/>
      <c r="G377" s="136">
        <f>ROUND(IF(PRODUCT(IF(C377=0,1,C377),IF(D377=0,1,D377),IF(E377=0,1,E377),IF(F377=0,1,F377))=1,0,PRODUCT(IF(C377=0,1,C377),IF(D377=0,1,D377),IF(E377=0,1,E377),IF(F377=0,1,F377))),2)</f>
        <v>600</v>
      </c>
      <c r="H377" s="131"/>
    </row>
    <row r="378" spans="1:8" x14ac:dyDescent="0.3">
      <c r="A378" s="132"/>
      <c r="B378" s="134" t="s">
        <v>650</v>
      </c>
      <c r="C378" s="135"/>
      <c r="D378" s="135">
        <v>50</v>
      </c>
      <c r="E378" s="135"/>
      <c r="F378" s="135"/>
      <c r="G378" s="136">
        <f t="shared" ref="G378:G379" si="48">ROUND(IF(PRODUCT(IF(C378=0,1,C378),IF(D378=0,1,D378),IF(E378=0,1,E378),IF(F378=0,1,F378))=1,0,PRODUCT(IF(C378=0,1,C378),IF(D378=0,1,D378),IF(E378=0,1,E378),IF(F378=0,1,F378))),2)</f>
        <v>50</v>
      </c>
      <c r="H378" s="131"/>
    </row>
    <row r="379" spans="1:8" x14ac:dyDescent="0.3">
      <c r="A379" s="132"/>
      <c r="B379" s="134"/>
      <c r="C379" s="137"/>
      <c r="D379" s="137"/>
      <c r="E379" s="137"/>
      <c r="F379" s="137"/>
      <c r="G379" s="136">
        <f t="shared" si="48"/>
        <v>0</v>
      </c>
      <c r="H379" s="131"/>
    </row>
    <row r="380" spans="1:8" x14ac:dyDescent="0.3">
      <c r="A380" s="132"/>
      <c r="C380" s="139"/>
      <c r="D380" s="212"/>
      <c r="E380" s="140" t="s">
        <v>616</v>
      </c>
      <c r="F380" s="141" t="s">
        <v>617</v>
      </c>
      <c r="G380" s="142">
        <f>SUM(G377:G379)</f>
        <v>650</v>
      </c>
      <c r="H380" s="143" t="s">
        <v>50</v>
      </c>
    </row>
    <row r="381" spans="1:8" ht="22.9" customHeight="1" x14ac:dyDescent="0.3">
      <c r="A381" s="132" t="str">
        <f>BASE!A84</f>
        <v>8.2.2</v>
      </c>
      <c r="B381" s="294" t="str">
        <f>BASE!D84</f>
        <v>ELETRODUTO RÍGIDO SOLDÁVEL, PVC, DN 32 MM (1), APARENTE, INSTALADO EM TETO - FORNECIMENTO E INSTALAÇÃO. AF_11/2016_P</v>
      </c>
      <c r="C381" s="295"/>
      <c r="D381" s="296"/>
      <c r="H381" s="131"/>
    </row>
    <row r="382" spans="1:8" x14ac:dyDescent="0.3">
      <c r="A382" s="132"/>
      <c r="B382" s="133" t="s">
        <v>612</v>
      </c>
      <c r="C382" s="133" t="s">
        <v>265</v>
      </c>
      <c r="D382" s="133" t="s">
        <v>613</v>
      </c>
      <c r="E382" s="133" t="s">
        <v>614</v>
      </c>
      <c r="F382" s="133" t="s">
        <v>615</v>
      </c>
      <c r="G382" s="133" t="s">
        <v>616</v>
      </c>
      <c r="H382" s="131"/>
    </row>
    <row r="383" spans="1:8" x14ac:dyDescent="0.3">
      <c r="A383" s="132"/>
      <c r="B383" s="134" t="s">
        <v>642</v>
      </c>
      <c r="C383" s="135">
        <v>3</v>
      </c>
      <c r="D383" s="135">
        <v>42.7</v>
      </c>
      <c r="E383" s="135"/>
      <c r="F383" s="135"/>
      <c r="G383" s="136">
        <f>ROUND(IF(PRODUCT(IF(C383=0,1,C383),IF(D383=0,1,D383),IF(E383=0,1,E383),IF(F383=0,1,F383))=1,0,PRODUCT(IF(C383=0,1,C383),IF(D383=0,1,D383),IF(E383=0,1,E383),IF(F383=0,1,F383))),2)</f>
        <v>128.1</v>
      </c>
      <c r="H383" s="131"/>
    </row>
    <row r="384" spans="1:8" x14ac:dyDescent="0.3">
      <c r="A384" s="132"/>
      <c r="B384" s="134"/>
      <c r="C384" s="137"/>
      <c r="D384" s="137"/>
      <c r="E384" s="137"/>
      <c r="F384" s="137"/>
      <c r="G384" s="136">
        <f t="shared" ref="G384" si="49">ROUND(IF(PRODUCT(IF(C384=0,1,C384),IF(D384=0,1,D384),IF(E384=0,1,E384),IF(F384=0,1,F384))=1,0,PRODUCT(IF(C384=0,1,C384),IF(D384=0,1,D384),IF(E384=0,1,E384),IF(F384=0,1,F384))),2)</f>
        <v>0</v>
      </c>
      <c r="H384" s="131"/>
    </row>
    <row r="385" spans="1:8" x14ac:dyDescent="0.3">
      <c r="A385" s="132"/>
      <c r="C385" s="139"/>
      <c r="D385" s="212"/>
      <c r="E385" s="140" t="s">
        <v>616</v>
      </c>
      <c r="F385" s="141" t="s">
        <v>617</v>
      </c>
      <c r="G385" s="142">
        <f>SUM(G383:G384)</f>
        <v>128.1</v>
      </c>
      <c r="H385" s="143" t="s">
        <v>50</v>
      </c>
    </row>
    <row r="386" spans="1:8" ht="22.9" customHeight="1" x14ac:dyDescent="0.3">
      <c r="A386" s="132" t="str">
        <f>BASE!A85</f>
        <v>8.2.3</v>
      </c>
      <c r="B386" s="294" t="str">
        <f>BASE!D85</f>
        <v>CABO DE COBRE FLEXÍVEL ISOLADO, 10 MM², ANTI-CHAMA 450/750 V, PARA CIRCUITOS TERMINAIS - FORNECIMENTO E INSTALAÇÃO. AF_12/2015</v>
      </c>
      <c r="C386" s="295"/>
      <c r="D386" s="296"/>
      <c r="H386" s="131"/>
    </row>
    <row r="387" spans="1:8" x14ac:dyDescent="0.3">
      <c r="A387" s="132"/>
      <c r="B387" s="133" t="s">
        <v>612</v>
      </c>
      <c r="C387" s="133" t="s">
        <v>265</v>
      </c>
      <c r="D387" s="133" t="s">
        <v>613</v>
      </c>
      <c r="E387" s="133" t="s">
        <v>614</v>
      </c>
      <c r="F387" s="133" t="s">
        <v>615</v>
      </c>
      <c r="G387" s="133" t="s">
        <v>616</v>
      </c>
      <c r="H387" s="131"/>
    </row>
    <row r="388" spans="1:8" x14ac:dyDescent="0.3">
      <c r="A388" s="132"/>
      <c r="B388" s="134" t="s">
        <v>650</v>
      </c>
      <c r="C388" s="135">
        <v>3</v>
      </c>
      <c r="D388" s="135">
        <v>650</v>
      </c>
      <c r="E388" s="135"/>
      <c r="F388" s="135"/>
      <c r="G388" s="136">
        <f>ROUND(IF(PRODUCT(IF(C388=0,1,C388),IF(D388=0,1,D388),IF(E388=0,1,E388),IF(F388=0,1,F388))=1,0,PRODUCT(IF(C388=0,1,C388),IF(D388=0,1,D388),IF(E388=0,1,E388),IF(F388=0,1,F388))),2)</f>
        <v>1950</v>
      </c>
      <c r="H388" s="131"/>
    </row>
    <row r="389" spans="1:8" x14ac:dyDescent="0.3">
      <c r="A389" s="132"/>
      <c r="B389" s="134"/>
      <c r="C389" s="137"/>
      <c r="D389" s="137"/>
      <c r="E389" s="137"/>
      <c r="F389" s="137"/>
      <c r="G389" s="136">
        <f t="shared" ref="G389" si="50">ROUND(IF(PRODUCT(IF(C389=0,1,C389),IF(D389=0,1,D389),IF(E389=0,1,E389),IF(F389=0,1,F389))=1,0,PRODUCT(IF(C389=0,1,C389),IF(D389=0,1,D389),IF(E389=0,1,E389),IF(F389=0,1,F389))),2)</f>
        <v>0</v>
      </c>
      <c r="H389" s="131"/>
    </row>
    <row r="390" spans="1:8" x14ac:dyDescent="0.3">
      <c r="A390" s="132"/>
      <c r="C390" s="139"/>
      <c r="D390" s="212"/>
      <c r="E390" s="140" t="s">
        <v>616</v>
      </c>
      <c r="F390" s="141" t="s">
        <v>617</v>
      </c>
      <c r="G390" s="142">
        <f>SUM(G388:G389)</f>
        <v>1950</v>
      </c>
      <c r="H390" s="143" t="s">
        <v>50</v>
      </c>
    </row>
    <row r="391" spans="1:8" ht="22.9" customHeight="1" x14ac:dyDescent="0.3">
      <c r="A391" s="132" t="str">
        <f>BASE!A86</f>
        <v>8.2.4</v>
      </c>
      <c r="B391" s="294" t="str">
        <f>BASE!D86</f>
        <v>CABO DE COBRE FLEXÍVEL ISOLADO, 4 MM², ANTI-CHAMA 450/750 V, PARA CIRCUITOS TERMINAIS - FORNECIMENTO E INSTALAÇÃO. AF_12/2015</v>
      </c>
      <c r="C391" s="295"/>
      <c r="D391" s="296"/>
      <c r="H391" s="131"/>
    </row>
    <row r="392" spans="1:8" x14ac:dyDescent="0.3">
      <c r="A392" s="132"/>
      <c r="B392" s="133" t="s">
        <v>612</v>
      </c>
      <c r="C392" s="133" t="s">
        <v>265</v>
      </c>
      <c r="D392" s="133" t="s">
        <v>613</v>
      </c>
      <c r="E392" s="133" t="s">
        <v>614</v>
      </c>
      <c r="F392" s="133" t="s">
        <v>615</v>
      </c>
      <c r="G392" s="133" t="s">
        <v>616</v>
      </c>
      <c r="H392" s="131"/>
    </row>
    <row r="393" spans="1:8" x14ac:dyDescent="0.3">
      <c r="A393" s="132"/>
      <c r="B393" s="134" t="s">
        <v>642</v>
      </c>
      <c r="C393" s="135">
        <v>9</v>
      </c>
      <c r="D393" s="135">
        <v>42.7</v>
      </c>
      <c r="E393" s="135"/>
      <c r="F393" s="135"/>
      <c r="G393" s="136">
        <f>ROUND(IF(PRODUCT(IF(C393=0,1,C393),IF(D393=0,1,D393),IF(E393=0,1,E393),IF(F393=0,1,F393))=1,0,PRODUCT(IF(C393=0,1,C393),IF(D393=0,1,D393),IF(E393=0,1,E393),IF(F393=0,1,F393))),2)</f>
        <v>384.3</v>
      </c>
      <c r="H393" s="131"/>
    </row>
    <row r="394" spans="1:8" x14ac:dyDescent="0.3">
      <c r="A394" s="132"/>
      <c r="B394" s="134"/>
      <c r="C394" s="137"/>
      <c r="D394" s="137"/>
      <c r="E394" s="137"/>
      <c r="F394" s="137"/>
      <c r="G394" s="136">
        <f t="shared" ref="G394" si="51">ROUND(IF(PRODUCT(IF(C394=0,1,C394),IF(D394=0,1,D394),IF(E394=0,1,E394),IF(F394=0,1,F394))=1,0,PRODUCT(IF(C394=0,1,C394),IF(D394=0,1,D394),IF(E394=0,1,E394),IF(F394=0,1,F394))),2)</f>
        <v>0</v>
      </c>
      <c r="H394" s="131"/>
    </row>
    <row r="395" spans="1:8" x14ac:dyDescent="0.3">
      <c r="A395" s="132"/>
      <c r="C395" s="139"/>
      <c r="D395" s="212"/>
      <c r="E395" s="140" t="s">
        <v>616</v>
      </c>
      <c r="F395" s="141" t="s">
        <v>617</v>
      </c>
      <c r="G395" s="142">
        <f>SUM(G393:G394)</f>
        <v>384.3</v>
      </c>
      <c r="H395" s="143" t="s">
        <v>50</v>
      </c>
    </row>
    <row r="396" spans="1:8" x14ac:dyDescent="0.3">
      <c r="A396" s="132" t="str">
        <f>BASE!A87</f>
        <v>8.2.5</v>
      </c>
      <c r="B396" s="294" t="str">
        <f>BASE!D87</f>
        <v xml:space="preserve">CAIXA DE PASSAGEM EM ALVENARIA DE TIJOLOS MACIÇOS ESP. = 0,12M, DIM. INT. = 0,30 X 0,30 X 0,50M	</v>
      </c>
      <c r="C396" s="295"/>
      <c r="D396" s="296"/>
      <c r="H396" s="131"/>
    </row>
    <row r="397" spans="1:8" x14ac:dyDescent="0.3">
      <c r="A397" s="132"/>
      <c r="B397" s="133" t="s">
        <v>612</v>
      </c>
      <c r="C397" s="133" t="s">
        <v>265</v>
      </c>
      <c r="D397" s="133" t="s">
        <v>613</v>
      </c>
      <c r="E397" s="133" t="s">
        <v>614</v>
      </c>
      <c r="F397" s="133" t="s">
        <v>615</v>
      </c>
      <c r="G397" s="133" t="s">
        <v>616</v>
      </c>
      <c r="H397" s="131"/>
    </row>
    <row r="398" spans="1:8" x14ac:dyDescent="0.3">
      <c r="A398" s="132"/>
      <c r="B398" s="134" t="s">
        <v>651</v>
      </c>
      <c r="C398" s="135">
        <v>14</v>
      </c>
      <c r="D398" s="135"/>
      <c r="E398" s="135"/>
      <c r="F398" s="135"/>
      <c r="G398" s="136">
        <f>ROUND(IF(PRODUCT(IF(C398=0,1,C398),IF(D398=0,1,D398),IF(E398=0,1,E398),IF(F398=0,1,F398))=1,0,PRODUCT(IF(C398=0,1,C398),IF(D398=0,1,D398),IF(E398=0,1,E398),IF(F398=0,1,F398))),2)</f>
        <v>14</v>
      </c>
      <c r="H398" s="131"/>
    </row>
    <row r="399" spans="1:8" x14ac:dyDescent="0.3">
      <c r="A399" s="132"/>
      <c r="B399" s="134" t="s">
        <v>652</v>
      </c>
      <c r="C399" s="135">
        <v>85</v>
      </c>
      <c r="D399" s="135"/>
      <c r="E399" s="135"/>
      <c r="F399" s="135"/>
      <c r="G399" s="136">
        <f t="shared" ref="G399:G400" si="52">ROUND(IF(PRODUCT(IF(C399=0,1,C399),IF(D399=0,1,D399),IF(E399=0,1,E399),IF(F399=0,1,F399))=1,0,PRODUCT(IF(C399=0,1,C399),IF(D399=0,1,D399),IF(E399=0,1,E399),IF(F399=0,1,F399))),2)</f>
        <v>85</v>
      </c>
      <c r="H399" s="131"/>
    </row>
    <row r="400" spans="1:8" x14ac:dyDescent="0.3">
      <c r="A400" s="132"/>
      <c r="B400" s="134"/>
      <c r="C400" s="137"/>
      <c r="D400" s="137"/>
      <c r="E400" s="137"/>
      <c r="F400" s="137"/>
      <c r="G400" s="136">
        <f t="shared" si="52"/>
        <v>0</v>
      </c>
      <c r="H400" s="131"/>
    </row>
    <row r="401" spans="1:8" x14ac:dyDescent="0.3">
      <c r="A401" s="132"/>
      <c r="C401" s="139"/>
      <c r="D401" s="212"/>
      <c r="E401" s="140" t="s">
        <v>616</v>
      </c>
      <c r="F401" s="141" t="s">
        <v>617</v>
      </c>
      <c r="G401" s="142">
        <f>SUM(G398:G400)</f>
        <v>99</v>
      </c>
      <c r="H401" s="143" t="s">
        <v>203</v>
      </c>
    </row>
    <row r="402" spans="1:8" x14ac:dyDescent="0.3">
      <c r="A402" s="132" t="str">
        <f>BASE!A88</f>
        <v>8.2.6</v>
      </c>
      <c r="B402" s="294" t="str">
        <f>BASE!D88</f>
        <v>REFLETOR SLIM LED 200W DE POTÊNCIA, BRANCO FRIO, 6500K, AUTOVOLT, MARCA G-LIGHT OU SIMILAR</v>
      </c>
      <c r="C402" s="295"/>
      <c r="D402" s="296"/>
      <c r="H402" s="131"/>
    </row>
    <row r="403" spans="1:8" x14ac:dyDescent="0.3">
      <c r="A403" s="132"/>
      <c r="B403" s="133" t="s">
        <v>612</v>
      </c>
      <c r="C403" s="133" t="s">
        <v>265</v>
      </c>
      <c r="D403" s="133" t="s">
        <v>613</v>
      </c>
      <c r="E403" s="133" t="s">
        <v>614</v>
      </c>
      <c r="F403" s="133" t="s">
        <v>615</v>
      </c>
      <c r="G403" s="133" t="s">
        <v>616</v>
      </c>
      <c r="H403" s="131"/>
    </row>
    <row r="404" spans="1:8" x14ac:dyDescent="0.3">
      <c r="A404" s="132"/>
      <c r="B404" s="134" t="s">
        <v>642</v>
      </c>
      <c r="C404" s="135">
        <v>15</v>
      </c>
      <c r="D404" s="135"/>
      <c r="E404" s="135"/>
      <c r="F404" s="135"/>
      <c r="G404" s="136">
        <f>ROUND(IF(PRODUCT(IF(C404=0,1,C404),IF(D404=0,1,D404),IF(E404=0,1,E404),IF(F404=0,1,F404))=1,0,PRODUCT(IF(C404=0,1,C404),IF(D404=0,1,D404),IF(E404=0,1,E404),IF(F404=0,1,F404))),2)</f>
        <v>15</v>
      </c>
      <c r="H404" s="131"/>
    </row>
    <row r="405" spans="1:8" x14ac:dyDescent="0.3">
      <c r="A405" s="132"/>
      <c r="B405" s="134"/>
      <c r="C405" s="137"/>
      <c r="D405" s="137"/>
      <c r="E405" s="137"/>
      <c r="F405" s="137"/>
      <c r="G405" s="136">
        <f t="shared" ref="G405" si="53">ROUND(IF(PRODUCT(IF(C405=0,1,C405),IF(D405=0,1,D405),IF(E405=0,1,E405),IF(F405=0,1,F405))=1,0,PRODUCT(IF(C405=0,1,C405),IF(D405=0,1,D405),IF(E405=0,1,E405),IF(F405=0,1,F405))),2)</f>
        <v>0</v>
      </c>
      <c r="H405" s="131"/>
    </row>
    <row r="406" spans="1:8" x14ac:dyDescent="0.3">
      <c r="A406" s="132"/>
      <c r="C406" s="139"/>
      <c r="D406" s="212"/>
      <c r="E406" s="140" t="s">
        <v>616</v>
      </c>
      <c r="F406" s="141" t="s">
        <v>617</v>
      </c>
      <c r="G406" s="142">
        <f>SUM(G404:G405)</f>
        <v>15</v>
      </c>
      <c r="H406" s="143" t="s">
        <v>203</v>
      </c>
    </row>
    <row r="407" spans="1:8" ht="33" customHeight="1" x14ac:dyDescent="0.3">
      <c r="A407" s="132" t="str">
        <f>BASE!A89</f>
        <v>8.2.7</v>
      </c>
      <c r="B407" s="294" t="str">
        <f>BASE!D89</f>
        <v>POSTE DECORATIVO PARA JARDIM EM AÇO TUBULAR, H = *2,5* M, SEM LUMINÁRIA - FORNECIMENTO E INSTALAÇÃO. AF_11/2019 + LUMINARIA DE LED PARA ILUMINACAO PUBLICA, DE 33 W ATE 50 W, INVOLUCRO EM ALUMINIO OU ACO INOX</v>
      </c>
      <c r="C407" s="295"/>
      <c r="D407" s="296"/>
      <c r="H407" s="131"/>
    </row>
    <row r="408" spans="1:8" x14ac:dyDescent="0.3">
      <c r="A408" s="132"/>
      <c r="B408" s="133" t="s">
        <v>612</v>
      </c>
      <c r="C408" s="133" t="s">
        <v>265</v>
      </c>
      <c r="D408" s="133" t="s">
        <v>613</v>
      </c>
      <c r="E408" s="133" t="s">
        <v>614</v>
      </c>
      <c r="F408" s="133" t="s">
        <v>615</v>
      </c>
      <c r="G408" s="133" t="s">
        <v>616</v>
      </c>
      <c r="H408" s="131"/>
    </row>
    <row r="409" spans="1:8" x14ac:dyDescent="0.3">
      <c r="A409" s="132"/>
      <c r="B409" s="134" t="s">
        <v>652</v>
      </c>
      <c r="C409" s="135">
        <v>85</v>
      </c>
      <c r="D409" s="135"/>
      <c r="E409" s="135"/>
      <c r="F409" s="135"/>
      <c r="G409" s="136">
        <f>ROUND(IF(PRODUCT(IF(C409=0,1,C409),IF(D409=0,1,D409),IF(E409=0,1,E409),IF(F409=0,1,F409))=1,0,PRODUCT(IF(C409=0,1,C409),IF(D409=0,1,D409),IF(E409=0,1,E409),IF(F409=0,1,F409))),2)</f>
        <v>85</v>
      </c>
      <c r="H409" s="131"/>
    </row>
    <row r="410" spans="1:8" x14ac:dyDescent="0.3">
      <c r="A410" s="132"/>
      <c r="B410" s="134"/>
      <c r="C410" s="137"/>
      <c r="D410" s="137"/>
      <c r="E410" s="137"/>
      <c r="F410" s="137"/>
      <c r="G410" s="136">
        <f t="shared" ref="G410" si="54">ROUND(IF(PRODUCT(IF(C410=0,1,C410),IF(D410=0,1,D410),IF(E410=0,1,E410),IF(F410=0,1,F410))=1,0,PRODUCT(IF(C410=0,1,C410),IF(D410=0,1,D410),IF(E410=0,1,E410),IF(F410=0,1,F410))),2)</f>
        <v>0</v>
      </c>
      <c r="H410" s="131"/>
    </row>
    <row r="411" spans="1:8" x14ac:dyDescent="0.3">
      <c r="A411" s="132"/>
      <c r="C411" s="139"/>
      <c r="D411" s="212"/>
      <c r="E411" s="140" t="s">
        <v>616</v>
      </c>
      <c r="F411" s="141" t="s">
        <v>617</v>
      </c>
      <c r="G411" s="142">
        <f>SUM(G409:G410)</f>
        <v>85</v>
      </c>
      <c r="H411" s="143" t="s">
        <v>203</v>
      </c>
    </row>
    <row r="412" spans="1:8" ht="33" customHeight="1" x14ac:dyDescent="0.3">
      <c r="A412" s="132" t="str">
        <f>BASE!A90</f>
        <v>8.2.8</v>
      </c>
      <c r="B412" s="294" t="str">
        <f>BASE!D90</f>
        <v>ASSENTAMENTO DE CHAVE MAGNETICA 2 X 30A P/ COMANDO ILUMINACAO PUBLICA, ACIONADA POR RELE FOTOELETRICO NA 220V/60HZ, TIPO LUX CONTROL MODELO CIP-I/70 OU EQUIV. INCLUSIVE QUADRO.</v>
      </c>
      <c r="C412" s="295"/>
      <c r="D412" s="296"/>
      <c r="H412" s="131"/>
    </row>
    <row r="413" spans="1:8" x14ac:dyDescent="0.3">
      <c r="A413" s="132"/>
      <c r="B413" s="133" t="s">
        <v>612</v>
      </c>
      <c r="C413" s="133" t="s">
        <v>265</v>
      </c>
      <c r="D413" s="133" t="s">
        <v>613</v>
      </c>
      <c r="E413" s="133" t="s">
        <v>614</v>
      </c>
      <c r="F413" s="133" t="s">
        <v>615</v>
      </c>
      <c r="G413" s="133" t="s">
        <v>616</v>
      </c>
      <c r="H413" s="131"/>
    </row>
    <row r="414" spans="1:8" x14ac:dyDescent="0.3">
      <c r="A414" s="132"/>
      <c r="B414" s="134"/>
      <c r="C414" s="135">
        <v>2</v>
      </c>
      <c r="D414" s="135"/>
      <c r="E414" s="135"/>
      <c r="F414" s="135"/>
      <c r="G414" s="136">
        <f>ROUND(IF(PRODUCT(IF(C414=0,1,C414),IF(D414=0,1,D414),IF(E414=0,1,E414),IF(F414=0,1,F414))=1,0,PRODUCT(IF(C414=0,1,C414),IF(D414=0,1,D414),IF(E414=0,1,E414),IF(F414=0,1,F414))),2)</f>
        <v>2</v>
      </c>
      <c r="H414" s="131"/>
    </row>
    <row r="415" spans="1:8" x14ac:dyDescent="0.3">
      <c r="A415" s="132"/>
      <c r="B415" s="134"/>
      <c r="C415" s="137"/>
      <c r="D415" s="137"/>
      <c r="E415" s="137"/>
      <c r="F415" s="137"/>
      <c r="G415" s="136">
        <f t="shared" ref="G415" si="55">ROUND(IF(PRODUCT(IF(C415=0,1,C415),IF(D415=0,1,D415),IF(E415=0,1,E415),IF(F415=0,1,F415))=1,0,PRODUCT(IF(C415=0,1,C415),IF(D415=0,1,D415),IF(E415=0,1,E415),IF(F415=0,1,F415))),2)</f>
        <v>0</v>
      </c>
      <c r="H415" s="131"/>
    </row>
    <row r="416" spans="1:8" x14ac:dyDescent="0.3">
      <c r="A416" s="132"/>
      <c r="C416" s="139"/>
      <c r="D416" s="212"/>
      <c r="E416" s="140" t="s">
        <v>616</v>
      </c>
      <c r="F416" s="141" t="s">
        <v>617</v>
      </c>
      <c r="G416" s="142">
        <f>SUM(G414:G415)</f>
        <v>2</v>
      </c>
      <c r="H416" s="143" t="s">
        <v>203</v>
      </c>
    </row>
    <row r="417" spans="1:8" ht="33" customHeight="1" x14ac:dyDescent="0.3">
      <c r="A417" s="132" t="str">
        <f>BASE!A91</f>
        <v>8.2.9</v>
      </c>
      <c r="B417" s="294" t="str">
        <f>BASE!D91</f>
        <v>CONJUNTO DE ILUMINAÇÃO C/04 PÉTALAS E LÂMPADAS DE LED 120W, MONTADA EM POSTE DE AÇO GALVANIZADO CIRCULAR, CHUMBADOR DE AÇO E FIAÇÃO - H=9M (MOD. AV. AGAMENOM MAGALHÃES CARUARU)</v>
      </c>
      <c r="C417" s="295"/>
      <c r="D417" s="296"/>
      <c r="H417" s="131"/>
    </row>
    <row r="418" spans="1:8" x14ac:dyDescent="0.3">
      <c r="A418" s="132"/>
      <c r="B418" s="133" t="s">
        <v>612</v>
      </c>
      <c r="C418" s="133" t="s">
        <v>265</v>
      </c>
      <c r="D418" s="133" t="s">
        <v>613</v>
      </c>
      <c r="E418" s="133" t="s">
        <v>614</v>
      </c>
      <c r="F418" s="133" t="s">
        <v>615</v>
      </c>
      <c r="G418" s="133" t="s">
        <v>616</v>
      </c>
      <c r="H418" s="131"/>
    </row>
    <row r="419" spans="1:8" x14ac:dyDescent="0.3">
      <c r="A419" s="132"/>
      <c r="B419" s="134" t="s">
        <v>651</v>
      </c>
      <c r="C419" s="135">
        <v>14</v>
      </c>
      <c r="D419" s="135"/>
      <c r="E419" s="135"/>
      <c r="F419" s="135"/>
      <c r="G419" s="136">
        <f>ROUND(IF(PRODUCT(IF(C419=0,1,C419),IF(D419=0,1,D419),IF(E419=0,1,E419),IF(F419=0,1,F419))=1,0,PRODUCT(IF(C419=0,1,C419),IF(D419=0,1,D419),IF(E419=0,1,E419),IF(F419=0,1,F419))),2)</f>
        <v>14</v>
      </c>
      <c r="H419" s="131"/>
    </row>
    <row r="420" spans="1:8" x14ac:dyDescent="0.3">
      <c r="A420" s="132"/>
      <c r="B420" s="134"/>
      <c r="C420" s="137"/>
      <c r="D420" s="137"/>
      <c r="E420" s="137"/>
      <c r="F420" s="137"/>
      <c r="G420" s="136">
        <f t="shared" ref="G420" si="56">ROUND(IF(PRODUCT(IF(C420=0,1,C420),IF(D420=0,1,D420),IF(E420=0,1,E420),IF(F420=0,1,F420))=1,0,PRODUCT(IF(C420=0,1,C420),IF(D420=0,1,D420),IF(E420=0,1,E420),IF(F420=0,1,F420))),2)</f>
        <v>0</v>
      </c>
      <c r="H420" s="131"/>
    </row>
    <row r="421" spans="1:8" x14ac:dyDescent="0.3">
      <c r="A421" s="132"/>
      <c r="C421" s="139"/>
      <c r="D421" s="212"/>
      <c r="E421" s="140" t="s">
        <v>616</v>
      </c>
      <c r="F421" s="141" t="s">
        <v>617</v>
      </c>
      <c r="G421" s="142">
        <f>SUM(G419:G420)</f>
        <v>14</v>
      </c>
      <c r="H421" s="143" t="s">
        <v>203</v>
      </c>
    </row>
    <row r="422" spans="1:8" x14ac:dyDescent="0.3">
      <c r="A422" s="249" t="str">
        <f>BASE!A92</f>
        <v>9.0</v>
      </c>
      <c r="B422" s="250" t="str">
        <f>BASE!D92</f>
        <v>SERVIÇOS FINAIS</v>
      </c>
      <c r="H422" s="131"/>
    </row>
    <row r="423" spans="1:8" x14ac:dyDescent="0.3">
      <c r="A423" s="251" t="str">
        <f>BASE!A93</f>
        <v>9.1</v>
      </c>
      <c r="B423" s="252" t="str">
        <f>BASE!D93</f>
        <v>BANCOS E PERGOLADOS</v>
      </c>
      <c r="H423" s="131"/>
    </row>
    <row r="424" spans="1:8" ht="22.9" customHeight="1" x14ac:dyDescent="0.3">
      <c r="A424" s="132" t="str">
        <f>BASE!A94</f>
        <v>9.1.1</v>
      </c>
      <c r="B424" s="294" t="str">
        <f>BASE!D94</f>
        <v>MADEIRA ANGELIN VERMELHO, SERRADA, APARELHADA EM DIMENSÕES E COMPRIMENTOS PRÉ ESTABELECIDOS</v>
      </c>
      <c r="C424" s="295"/>
      <c r="D424" s="296"/>
      <c r="H424" s="131"/>
    </row>
    <row r="425" spans="1:8" x14ac:dyDescent="0.3">
      <c r="A425" s="132"/>
      <c r="B425" s="133" t="s">
        <v>612</v>
      </c>
      <c r="C425" s="133" t="s">
        <v>265</v>
      </c>
      <c r="D425" s="133" t="s">
        <v>613</v>
      </c>
      <c r="E425" s="133" t="s">
        <v>614</v>
      </c>
      <c r="F425" s="133" t="s">
        <v>615</v>
      </c>
      <c r="G425" s="133" t="s">
        <v>616</v>
      </c>
      <c r="H425" s="131"/>
    </row>
    <row r="426" spans="1:8" x14ac:dyDescent="0.3">
      <c r="A426" s="132"/>
      <c r="B426" s="134" t="s">
        <v>653</v>
      </c>
      <c r="C426" s="135">
        <v>119</v>
      </c>
      <c r="D426" s="135">
        <v>4.9000000000000004</v>
      </c>
      <c r="E426" s="135">
        <v>0.1</v>
      </c>
      <c r="F426" s="135">
        <v>0.15</v>
      </c>
      <c r="G426" s="136">
        <f>ROUND(IF(PRODUCT(IF(C426=0,1,C426),IF(D426=0,1,D426),IF(E426=0,1,E426),IF(F426=0,1,F426))=1,0,PRODUCT(IF(C426=0,1,C426),IF(D426=0,1,D426),IF(E426=0,1,E426),IF(F426=0,1,F426))),2)</f>
        <v>8.75</v>
      </c>
      <c r="H426" s="131"/>
    </row>
    <row r="427" spans="1:8" x14ac:dyDescent="0.3">
      <c r="A427" s="132"/>
      <c r="B427" s="134" t="s">
        <v>654</v>
      </c>
      <c r="C427" s="135"/>
      <c r="D427" s="135">
        <v>93.8</v>
      </c>
      <c r="E427" s="135">
        <v>0.1</v>
      </c>
      <c r="F427" s="135">
        <v>0.3</v>
      </c>
      <c r="G427" s="136">
        <f t="shared" ref="G427:G432" si="57">ROUND(IF(PRODUCT(IF(C427=0,1,C427),IF(D427=0,1,D427),IF(E427=0,1,E427),IF(F427=0,1,F427))=1,0,PRODUCT(IF(C427=0,1,C427),IF(D427=0,1,D427),IF(E427=0,1,E427),IF(F427=0,1,F427))),2)</f>
        <v>2.81</v>
      </c>
      <c r="H427" s="131"/>
    </row>
    <row r="428" spans="1:8" x14ac:dyDescent="0.3">
      <c r="A428" s="132"/>
      <c r="B428" s="134" t="s">
        <v>626</v>
      </c>
      <c r="C428" s="135">
        <v>26</v>
      </c>
      <c r="D428" s="135">
        <v>0.2</v>
      </c>
      <c r="E428" s="135">
        <v>0.2</v>
      </c>
      <c r="F428" s="135">
        <v>2.5</v>
      </c>
      <c r="G428" s="136">
        <f t="shared" si="57"/>
        <v>2.6</v>
      </c>
      <c r="H428" s="131"/>
    </row>
    <row r="429" spans="1:8" x14ac:dyDescent="0.3">
      <c r="A429" s="132"/>
      <c r="B429" s="134" t="s">
        <v>655</v>
      </c>
      <c r="C429" s="135">
        <v>1</v>
      </c>
      <c r="D429" s="135">
        <v>12</v>
      </c>
      <c r="E429" s="135">
        <v>0.45</v>
      </c>
      <c r="F429" s="135">
        <v>0.05</v>
      </c>
      <c r="G429" s="136">
        <f t="shared" si="57"/>
        <v>0.27</v>
      </c>
      <c r="H429" s="131"/>
    </row>
    <row r="430" spans="1:8" x14ac:dyDescent="0.3">
      <c r="A430" s="132"/>
      <c r="B430" s="134" t="s">
        <v>656</v>
      </c>
      <c r="C430" s="135">
        <v>3</v>
      </c>
      <c r="D430" s="135">
        <v>6</v>
      </c>
      <c r="E430" s="135">
        <v>0.45</v>
      </c>
      <c r="F430" s="135">
        <v>0.05</v>
      </c>
      <c r="G430" s="136">
        <f t="shared" si="57"/>
        <v>0.41</v>
      </c>
      <c r="H430" s="131"/>
    </row>
    <row r="431" spans="1:8" x14ac:dyDescent="0.3">
      <c r="A431" s="132"/>
      <c r="B431" s="134" t="s">
        <v>657</v>
      </c>
      <c r="C431" s="135">
        <v>19</v>
      </c>
      <c r="D431" s="135">
        <v>3</v>
      </c>
      <c r="E431" s="135">
        <v>0.45</v>
      </c>
      <c r="F431" s="135">
        <v>0.05</v>
      </c>
      <c r="G431" s="136">
        <f t="shared" si="57"/>
        <v>1.28</v>
      </c>
      <c r="H431" s="131"/>
    </row>
    <row r="432" spans="1:8" x14ac:dyDescent="0.3">
      <c r="A432" s="132"/>
      <c r="B432" s="134"/>
      <c r="C432" s="137"/>
      <c r="D432" s="137"/>
      <c r="E432" s="137"/>
      <c r="F432" s="137"/>
      <c r="G432" s="136">
        <f t="shared" si="57"/>
        <v>0</v>
      </c>
      <c r="H432" s="131"/>
    </row>
    <row r="433" spans="1:8" x14ac:dyDescent="0.3">
      <c r="A433" s="132"/>
      <c r="C433" s="139"/>
      <c r="D433" s="212"/>
      <c r="E433" s="140" t="s">
        <v>616</v>
      </c>
      <c r="F433" s="141" t="s">
        <v>617</v>
      </c>
      <c r="G433" s="142">
        <f>SUM(G426:G432)</f>
        <v>16.12</v>
      </c>
      <c r="H433" s="143" t="s">
        <v>39</v>
      </c>
    </row>
    <row r="434" spans="1:8" x14ac:dyDescent="0.3">
      <c r="A434" s="251" t="str">
        <f>BASE!A95</f>
        <v>9.2</v>
      </c>
      <c r="B434" s="252" t="str">
        <f>BASE!D95</f>
        <v>PAISAGISMO</v>
      </c>
      <c r="H434" s="131"/>
    </row>
    <row r="435" spans="1:8" x14ac:dyDescent="0.3">
      <c r="A435" s="132" t="str">
        <f>BASE!A96</f>
        <v>9.2.1</v>
      </c>
      <c r="B435" s="294" t="str">
        <f>BASE!D96</f>
        <v xml:space="preserve">GRAMA ESMERALDA EM PLACAS, FORNECIMENTO E PLANTIO	</v>
      </c>
      <c r="C435" s="295"/>
      <c r="D435" s="296"/>
      <c r="H435" s="131"/>
    </row>
    <row r="436" spans="1:8" x14ac:dyDescent="0.3">
      <c r="A436" s="132"/>
      <c r="B436" s="133" t="s">
        <v>612</v>
      </c>
      <c r="C436" s="133" t="s">
        <v>618</v>
      </c>
      <c r="D436" s="133" t="s">
        <v>613</v>
      </c>
      <c r="E436" s="133" t="s">
        <v>614</v>
      </c>
      <c r="F436" s="133" t="s">
        <v>615</v>
      </c>
      <c r="G436" s="133" t="s">
        <v>616</v>
      </c>
      <c r="H436" s="131"/>
    </row>
    <row r="437" spans="1:8" x14ac:dyDescent="0.3">
      <c r="A437" s="132"/>
      <c r="B437" s="134"/>
      <c r="C437" s="135">
        <v>1071.32</v>
      </c>
      <c r="D437" s="135"/>
      <c r="E437" s="135"/>
      <c r="F437" s="135"/>
      <c r="G437" s="136">
        <f>ROUND(IF(PRODUCT(IF(C437=0,1,C437),IF(D437=0,1,D437),IF(E437=0,1,E437),IF(F437=0,1,F437))=1,0,PRODUCT(IF(C437=0,1,C437),IF(D437=0,1,D437),IF(E437=0,1,E437),IF(F437=0,1,F437))),2)</f>
        <v>1071.32</v>
      </c>
      <c r="H437" s="131"/>
    </row>
    <row r="438" spans="1:8" x14ac:dyDescent="0.3">
      <c r="A438" s="132"/>
      <c r="B438" s="134"/>
      <c r="C438" s="137"/>
      <c r="D438" s="137"/>
      <c r="E438" s="137"/>
      <c r="F438" s="137"/>
      <c r="G438" s="136">
        <f t="shared" ref="G438" si="58">ROUND(IF(PRODUCT(IF(C438=0,1,C438),IF(D438=0,1,D438),IF(E438=0,1,E438),IF(F438=0,1,F438))=1,0,PRODUCT(IF(C438=0,1,C438),IF(D438=0,1,D438),IF(E438=0,1,E438),IF(F438=0,1,F438))),2)</f>
        <v>0</v>
      </c>
      <c r="H438" s="131"/>
    </row>
    <row r="439" spans="1:8" x14ac:dyDescent="0.3">
      <c r="A439" s="132"/>
      <c r="C439" s="139"/>
      <c r="D439" s="212"/>
      <c r="E439" s="140" t="s">
        <v>616</v>
      </c>
      <c r="F439" s="141" t="s">
        <v>617</v>
      </c>
      <c r="G439" s="142">
        <f>SUM(G437:G438)</f>
        <v>1071.32</v>
      </c>
      <c r="H439" s="143" t="s">
        <v>25</v>
      </c>
    </row>
    <row r="440" spans="1:8" x14ac:dyDescent="0.3">
      <c r="A440" s="251" t="str">
        <f>BASE!A97</f>
        <v>9.3</v>
      </c>
      <c r="B440" s="252" t="str">
        <f>BASE!D97</f>
        <v>URBANIZAÇÃO</v>
      </c>
      <c r="C440" s="139"/>
      <c r="D440" s="212"/>
      <c r="E440" s="212"/>
      <c r="F440" s="212"/>
      <c r="G440" s="253"/>
      <c r="H440" s="213"/>
    </row>
    <row r="441" spans="1:8" x14ac:dyDescent="0.3">
      <c r="A441" s="132" t="str">
        <f>BASE!A98</f>
        <v>9.3.1</v>
      </c>
      <c r="B441" s="294" t="str">
        <f>BASE!D98</f>
        <v>PLACA DE INAUGURACAO METALICA, *40* CM X *60* CM</v>
      </c>
      <c r="C441" s="295"/>
      <c r="D441" s="296"/>
      <c r="H441" s="131"/>
    </row>
    <row r="442" spans="1:8" x14ac:dyDescent="0.3">
      <c r="A442" s="132"/>
      <c r="B442" s="133" t="s">
        <v>612</v>
      </c>
      <c r="C442" s="133" t="s">
        <v>265</v>
      </c>
      <c r="D442" s="133" t="s">
        <v>613</v>
      </c>
      <c r="E442" s="133" t="s">
        <v>614</v>
      </c>
      <c r="F442" s="133" t="s">
        <v>615</v>
      </c>
      <c r="G442" s="133" t="s">
        <v>616</v>
      </c>
      <c r="H442" s="131"/>
    </row>
    <row r="443" spans="1:8" x14ac:dyDescent="0.3">
      <c r="A443" s="132"/>
      <c r="B443" s="134"/>
      <c r="C443" s="135">
        <v>1</v>
      </c>
      <c r="D443" s="135"/>
      <c r="E443" s="135"/>
      <c r="F443" s="135"/>
      <c r="G443" s="136">
        <f>SUM(C443:F443)</f>
        <v>1</v>
      </c>
      <c r="H443" s="131"/>
    </row>
    <row r="444" spans="1:8" x14ac:dyDescent="0.3">
      <c r="A444" s="132"/>
      <c r="B444" s="134"/>
      <c r="C444" s="137"/>
      <c r="D444" s="137"/>
      <c r="E444" s="137"/>
      <c r="F444" s="137"/>
      <c r="G444" s="136">
        <f t="shared" ref="G444" si="59">ROUND(IF(PRODUCT(IF(C444=0,1,C444),IF(D444=0,1,D444),IF(E444=0,1,E444),IF(F444=0,1,F444))=1,0,PRODUCT(IF(C444=0,1,C444),IF(D444=0,1,D444),IF(E444=0,1,E444),IF(F444=0,1,F444))),2)</f>
        <v>0</v>
      </c>
      <c r="H444" s="131"/>
    </row>
    <row r="445" spans="1:8" x14ac:dyDescent="0.3">
      <c r="A445" s="132"/>
      <c r="C445" s="139"/>
      <c r="D445" s="212"/>
      <c r="E445" s="140" t="s">
        <v>616</v>
      </c>
      <c r="F445" s="141" t="s">
        <v>617</v>
      </c>
      <c r="G445" s="142">
        <f>SUM(G443:G444)</f>
        <v>1</v>
      </c>
      <c r="H445" s="143" t="s">
        <v>203</v>
      </c>
    </row>
    <row r="446" spans="1:8" ht="33" customHeight="1" x14ac:dyDescent="0.3">
      <c r="A446" s="132" t="str">
        <f>BASE!A99</f>
        <v>9.3.2</v>
      </c>
      <c r="B446" s="294" t="str">
        <f>BASE!D99</f>
        <v xml:space="preserve">MESA C/ TAMPO Ø=1,00M EM CONCRETO ARMADO POLIDO SOBRE TUBO DE CONCRETO ARMADO Ø=0,40M, E 4 BANCOS EM CONCRETO ARMADO Ø=0,40M, COM PINTURA ACRÍLICA COR CINZA GRAFITE DA CORAL OU SIMILAR.	</v>
      </c>
      <c r="C446" s="295"/>
      <c r="D446" s="296"/>
      <c r="H446" s="131"/>
    </row>
    <row r="447" spans="1:8" x14ac:dyDescent="0.3">
      <c r="A447" s="132"/>
      <c r="B447" s="133" t="s">
        <v>612</v>
      </c>
      <c r="C447" s="133" t="s">
        <v>265</v>
      </c>
      <c r="D447" s="133" t="s">
        <v>613</v>
      </c>
      <c r="E447" s="133" t="s">
        <v>614</v>
      </c>
      <c r="F447" s="133" t="s">
        <v>615</v>
      </c>
      <c r="G447" s="133" t="s">
        <v>616</v>
      </c>
      <c r="H447" s="131"/>
    </row>
    <row r="448" spans="1:8" x14ac:dyDescent="0.3">
      <c r="A448" s="132"/>
      <c r="B448" s="134"/>
      <c r="C448" s="135">
        <v>22</v>
      </c>
      <c r="D448" s="135"/>
      <c r="E448" s="135"/>
      <c r="F448" s="135"/>
      <c r="G448" s="136">
        <f>ROUND(IF(PRODUCT(IF(C448=0,1,C448),IF(D448=0,1,D448),IF(E448=0,1,E448),IF(F448=0,1,F448))=1,0,PRODUCT(IF(C448=0,1,C448),IF(D448=0,1,D448),IF(E448=0,1,E448),IF(F448=0,1,F448))),2)</f>
        <v>22</v>
      </c>
      <c r="H448" s="131"/>
    </row>
    <row r="449" spans="1:8" x14ac:dyDescent="0.3">
      <c r="A449" s="132"/>
      <c r="B449" s="134"/>
      <c r="C449" s="137"/>
      <c r="D449" s="137"/>
      <c r="E449" s="137"/>
      <c r="F449" s="137"/>
      <c r="G449" s="136">
        <f t="shared" ref="G449" si="60">ROUND(IF(PRODUCT(IF(C449=0,1,C449),IF(D449=0,1,D449),IF(E449=0,1,E449),IF(F449=0,1,F449))=1,0,PRODUCT(IF(C449=0,1,C449),IF(D449=0,1,D449),IF(E449=0,1,E449),IF(F449=0,1,F449))),2)</f>
        <v>0</v>
      </c>
      <c r="H449" s="131"/>
    </row>
    <row r="450" spans="1:8" x14ac:dyDescent="0.3">
      <c r="A450" s="132"/>
      <c r="C450" s="139"/>
      <c r="D450" s="212"/>
      <c r="E450" s="140" t="s">
        <v>616</v>
      </c>
      <c r="F450" s="141" t="s">
        <v>617</v>
      </c>
      <c r="G450" s="142">
        <f>SUM(G448:G449)</f>
        <v>22</v>
      </c>
      <c r="H450" s="143" t="s">
        <v>203</v>
      </c>
    </row>
    <row r="451" spans="1:8" x14ac:dyDescent="0.3">
      <c r="A451" s="132" t="str">
        <f>BASE!A100</f>
        <v>9.3.3</v>
      </c>
      <c r="B451" s="294" t="str">
        <f>BASE!D100</f>
        <v xml:space="preserve">BALANÇO 3 LUGARES EM AÇO INDUSTRIAL OU MADEIRA, SERGIPARK OU SIMILAR	</v>
      </c>
      <c r="C451" s="295"/>
      <c r="D451" s="296"/>
      <c r="H451" s="131"/>
    </row>
    <row r="452" spans="1:8" x14ac:dyDescent="0.3">
      <c r="A452" s="132"/>
      <c r="B452" s="133" t="s">
        <v>612</v>
      </c>
      <c r="C452" s="133" t="s">
        <v>265</v>
      </c>
      <c r="D452" s="133" t="s">
        <v>613</v>
      </c>
      <c r="E452" s="133" t="s">
        <v>614</v>
      </c>
      <c r="F452" s="133" t="s">
        <v>615</v>
      </c>
      <c r="G452" s="133" t="s">
        <v>616</v>
      </c>
      <c r="H452" s="131"/>
    </row>
    <row r="453" spans="1:8" x14ac:dyDescent="0.3">
      <c r="A453" s="132"/>
      <c r="B453" s="134"/>
      <c r="C453" s="135">
        <v>1</v>
      </c>
      <c r="D453" s="135"/>
      <c r="E453" s="135"/>
      <c r="F453" s="135"/>
      <c r="G453" s="136">
        <f>SUM(C453:F453)</f>
        <v>1</v>
      </c>
      <c r="H453" s="131"/>
    </row>
    <row r="454" spans="1:8" x14ac:dyDescent="0.3">
      <c r="A454" s="132"/>
      <c r="B454" s="134"/>
      <c r="C454" s="137"/>
      <c r="D454" s="137"/>
      <c r="E454" s="137"/>
      <c r="F454" s="137"/>
      <c r="G454" s="136">
        <f t="shared" ref="G454" si="61">ROUND(IF(PRODUCT(IF(C454=0,1,C454),IF(D454=0,1,D454),IF(E454=0,1,E454),IF(F454=0,1,F454))=1,0,PRODUCT(IF(C454=0,1,C454),IF(D454=0,1,D454),IF(E454=0,1,E454),IF(F454=0,1,F454))),2)</f>
        <v>0</v>
      </c>
      <c r="H454" s="131"/>
    </row>
    <row r="455" spans="1:8" x14ac:dyDescent="0.3">
      <c r="A455" s="132"/>
      <c r="C455" s="139"/>
      <c r="D455" s="212"/>
      <c r="E455" s="140" t="s">
        <v>616</v>
      </c>
      <c r="F455" s="141" t="s">
        <v>617</v>
      </c>
      <c r="G455" s="142">
        <f>SUM(G453:G454)</f>
        <v>1</v>
      </c>
      <c r="H455" s="143" t="s">
        <v>203</v>
      </c>
    </row>
    <row r="456" spans="1:8" x14ac:dyDescent="0.3">
      <c r="A456" s="132" t="str">
        <f>BASE!A101</f>
        <v>9.3.4</v>
      </c>
      <c r="B456" s="294" t="str">
        <f>BASE!D101</f>
        <v xml:space="preserve">GANGORRA COM 3 PRANCHAS EM AÇO INDUSTRIAL OU MADEIRA (SERGIPARK OU SIMILAR)	</v>
      </c>
      <c r="C456" s="295"/>
      <c r="D456" s="296"/>
      <c r="H456" s="131"/>
    </row>
    <row r="457" spans="1:8" x14ac:dyDescent="0.3">
      <c r="A457" s="132"/>
      <c r="B457" s="133" t="s">
        <v>612</v>
      </c>
      <c r="C457" s="133" t="s">
        <v>265</v>
      </c>
      <c r="D457" s="133" t="s">
        <v>613</v>
      </c>
      <c r="E457" s="133" t="s">
        <v>614</v>
      </c>
      <c r="F457" s="133" t="s">
        <v>615</v>
      </c>
      <c r="G457" s="133" t="s">
        <v>616</v>
      </c>
      <c r="H457" s="131"/>
    </row>
    <row r="458" spans="1:8" x14ac:dyDescent="0.3">
      <c r="A458" s="132"/>
      <c r="B458" s="134"/>
      <c r="C458" s="135">
        <v>1</v>
      </c>
      <c r="D458" s="135"/>
      <c r="E458" s="135"/>
      <c r="F458" s="135"/>
      <c r="G458" s="136">
        <f>SUM(C458:F458)</f>
        <v>1</v>
      </c>
      <c r="H458" s="131"/>
    </row>
    <row r="459" spans="1:8" x14ac:dyDescent="0.3">
      <c r="A459" s="132"/>
      <c r="B459" s="134"/>
      <c r="C459" s="137"/>
      <c r="D459" s="137"/>
      <c r="E459" s="137"/>
      <c r="F459" s="137"/>
      <c r="G459" s="136">
        <f t="shared" ref="G459" si="62">ROUND(IF(PRODUCT(IF(C459=0,1,C459),IF(D459=0,1,D459),IF(E459=0,1,E459),IF(F459=0,1,F459))=1,0,PRODUCT(IF(C459=0,1,C459),IF(D459=0,1,D459),IF(E459=0,1,E459),IF(F459=0,1,F459))),2)</f>
        <v>0</v>
      </c>
      <c r="H459" s="131"/>
    </row>
    <row r="460" spans="1:8" x14ac:dyDescent="0.3">
      <c r="A460" s="132"/>
      <c r="C460" s="139"/>
      <c r="D460" s="212"/>
      <c r="E460" s="140" t="s">
        <v>616</v>
      </c>
      <c r="F460" s="141" t="s">
        <v>617</v>
      </c>
      <c r="G460" s="142">
        <f>SUM(G458:G459)</f>
        <v>1</v>
      </c>
      <c r="H460" s="143" t="s">
        <v>203</v>
      </c>
    </row>
    <row r="461" spans="1:8" x14ac:dyDescent="0.3">
      <c r="A461" s="132" t="str">
        <f>BASE!A102</f>
        <v>9.3.5</v>
      </c>
      <c r="B461" s="294" t="str">
        <f>BASE!D102</f>
        <v xml:space="preserve">ESCORREGADEIRA EM AÇO CARBONO C/2,00M DE PISTA (SERGIPARK OU SIMILAR)	</v>
      </c>
      <c r="C461" s="295"/>
      <c r="D461" s="296"/>
      <c r="H461" s="131"/>
    </row>
    <row r="462" spans="1:8" x14ac:dyDescent="0.3">
      <c r="A462" s="132"/>
      <c r="B462" s="133" t="s">
        <v>612</v>
      </c>
      <c r="C462" s="133" t="s">
        <v>265</v>
      </c>
      <c r="D462" s="133" t="s">
        <v>613</v>
      </c>
      <c r="E462" s="133" t="s">
        <v>614</v>
      </c>
      <c r="F462" s="133" t="s">
        <v>615</v>
      </c>
      <c r="G462" s="133" t="s">
        <v>616</v>
      </c>
      <c r="H462" s="131"/>
    </row>
    <row r="463" spans="1:8" x14ac:dyDescent="0.3">
      <c r="A463" s="132"/>
      <c r="B463" s="134"/>
      <c r="C463" s="135">
        <v>1</v>
      </c>
      <c r="D463" s="135"/>
      <c r="E463" s="135"/>
      <c r="F463" s="135"/>
      <c r="G463" s="136">
        <f>SUM(C463:F463)</f>
        <v>1</v>
      </c>
      <c r="H463" s="131"/>
    </row>
    <row r="464" spans="1:8" x14ac:dyDescent="0.3">
      <c r="A464" s="132"/>
      <c r="B464" s="134"/>
      <c r="C464" s="137"/>
      <c r="D464" s="137"/>
      <c r="E464" s="137"/>
      <c r="F464" s="137"/>
      <c r="G464" s="136">
        <f t="shared" ref="G464" si="63">ROUND(IF(PRODUCT(IF(C464=0,1,C464),IF(D464=0,1,D464),IF(E464=0,1,E464),IF(F464=0,1,F464))=1,0,PRODUCT(IF(C464=0,1,C464),IF(D464=0,1,D464),IF(E464=0,1,E464),IF(F464=0,1,F464))),2)</f>
        <v>0</v>
      </c>
      <c r="H464" s="131"/>
    </row>
    <row r="465" spans="1:8" x14ac:dyDescent="0.3">
      <c r="A465" s="132"/>
      <c r="C465" s="139"/>
      <c r="D465" s="212"/>
      <c r="E465" s="140" t="s">
        <v>616</v>
      </c>
      <c r="F465" s="141" t="s">
        <v>617</v>
      </c>
      <c r="G465" s="142">
        <f>SUM(G463:G464)</f>
        <v>1</v>
      </c>
      <c r="H465" s="143" t="s">
        <v>203</v>
      </c>
    </row>
    <row r="466" spans="1:8" x14ac:dyDescent="0.3">
      <c r="A466" s="251" t="str">
        <f>BASE!A103</f>
        <v>9.4</v>
      </c>
      <c r="B466" s="252" t="str">
        <f>BASE!D103</f>
        <v>REVESTIMENTO METALICO</v>
      </c>
      <c r="H466" s="131"/>
    </row>
    <row r="467" spans="1:8" ht="33" customHeight="1" x14ac:dyDescent="0.3">
      <c r="A467" s="132" t="str">
        <f>BASE!A104</f>
        <v>9.4.1</v>
      </c>
      <c r="B467" s="294" t="str">
        <f>BASE!D104</f>
        <v xml:space="preserve">REVESTIMENTO METÁLICO EM ALUMÍNIO COMPOSTO (ALUCOBOND), E=0,3MM, PINTURA KAYNAR 500 COMPOSTA POR SEIS CAMADAS, INCLUSIVE ESTRUTURA METÁLICA AUXILIAR EM PERFIL DE VIGA "U" DE 2" - FORNECIMENTO E MONTAGEM	</v>
      </c>
      <c r="C467" s="295"/>
      <c r="D467" s="296"/>
      <c r="H467" s="131"/>
    </row>
    <row r="468" spans="1:8" x14ac:dyDescent="0.3">
      <c r="A468" s="132"/>
      <c r="B468" s="133" t="s">
        <v>612</v>
      </c>
      <c r="C468" s="133" t="s">
        <v>618</v>
      </c>
      <c r="D468" s="133" t="s">
        <v>613</v>
      </c>
      <c r="E468" s="133" t="s">
        <v>614</v>
      </c>
      <c r="F468" s="133" t="s">
        <v>615</v>
      </c>
      <c r="G468" s="133" t="s">
        <v>616</v>
      </c>
      <c r="H468" s="131"/>
    </row>
    <row r="469" spans="1:8" x14ac:dyDescent="0.3">
      <c r="A469" s="132"/>
      <c r="B469" s="134" t="s">
        <v>658</v>
      </c>
      <c r="C469" s="135">
        <v>17.89</v>
      </c>
      <c r="D469" s="135"/>
      <c r="E469" s="135"/>
      <c r="F469" s="135"/>
      <c r="G469" s="136">
        <f>ROUND(IF(PRODUCT(IF(C469=0,1,C469),IF(D469=0,1,D469),IF(E469=0,1,E469),IF(F469=0,1,F469))=1,0,PRODUCT(IF(C469=0,1,C469),IF(D469=0,1,D469),IF(E469=0,1,E469),IF(F469=0,1,F469))),2)</f>
        <v>17.89</v>
      </c>
      <c r="H469" s="131"/>
    </row>
    <row r="470" spans="1:8" x14ac:dyDescent="0.3">
      <c r="A470" s="132"/>
      <c r="B470" s="134"/>
      <c r="C470" s="137"/>
      <c r="D470" s="137"/>
      <c r="E470" s="137"/>
      <c r="F470" s="137"/>
      <c r="G470" s="136">
        <f t="shared" ref="G470" si="64">ROUND(IF(PRODUCT(IF(C470=0,1,C470),IF(D470=0,1,D470),IF(E470=0,1,E470),IF(F470=0,1,F470))=1,0,PRODUCT(IF(C470=0,1,C470),IF(D470=0,1,D470),IF(E470=0,1,E470),IF(F470=0,1,F470))),2)</f>
        <v>0</v>
      </c>
      <c r="H470" s="131"/>
    </row>
    <row r="471" spans="1:8" x14ac:dyDescent="0.3">
      <c r="A471" s="132"/>
      <c r="C471" s="139"/>
      <c r="D471" s="212"/>
      <c r="E471" s="140" t="s">
        <v>616</v>
      </c>
      <c r="F471" s="141" t="s">
        <v>617</v>
      </c>
      <c r="G471" s="142">
        <f>SUM(G469:G470)</f>
        <v>17.89</v>
      </c>
      <c r="H471" s="143" t="s">
        <v>25</v>
      </c>
    </row>
  </sheetData>
  <mergeCells count="72">
    <mergeCell ref="B72:D72"/>
    <mergeCell ref="B77:D77"/>
    <mergeCell ref="B84:D84"/>
    <mergeCell ref="A1:H1"/>
    <mergeCell ref="A3:H3"/>
    <mergeCell ref="A2:H2"/>
    <mergeCell ref="A4:H5"/>
    <mergeCell ref="B6:H6"/>
    <mergeCell ref="B446:D446"/>
    <mergeCell ref="B451:D451"/>
    <mergeCell ref="B456:D456"/>
    <mergeCell ref="B7:E7"/>
    <mergeCell ref="A8:H8"/>
    <mergeCell ref="B10:D10"/>
    <mergeCell ref="B15:D15"/>
    <mergeCell ref="G7:H7"/>
    <mergeCell ref="B20:D20"/>
    <mergeCell ref="B30:D30"/>
    <mergeCell ref="B25:D25"/>
    <mergeCell ref="B40:D40"/>
    <mergeCell ref="B47:D47"/>
    <mergeCell ref="B53:D53"/>
    <mergeCell ref="B58:D58"/>
    <mergeCell ref="B65:D65"/>
    <mergeCell ref="B407:D407"/>
    <mergeCell ref="B417:D417"/>
    <mergeCell ref="B424:D424"/>
    <mergeCell ref="B435:D435"/>
    <mergeCell ref="B441:D441"/>
    <mergeCell ref="B90:D90"/>
    <mergeCell ref="B96:D96"/>
    <mergeCell ref="B105:D105"/>
    <mergeCell ref="B115:D115"/>
    <mergeCell ref="B124:D124"/>
    <mergeCell ref="B134:D134"/>
    <mergeCell ref="B150:D150"/>
    <mergeCell ref="B160:D160"/>
    <mergeCell ref="B171:D171"/>
    <mergeCell ref="B180:D180"/>
    <mergeCell ref="B185:D185"/>
    <mergeCell ref="B240:D240"/>
    <mergeCell ref="B246:D246"/>
    <mergeCell ref="B251:D251"/>
    <mergeCell ref="B263:D263"/>
    <mergeCell ref="B268:D268"/>
    <mergeCell ref="B274:D274"/>
    <mergeCell ref="B281:D281"/>
    <mergeCell ref="B288:D288"/>
    <mergeCell ref="B293:D293"/>
    <mergeCell ref="B352:D352"/>
    <mergeCell ref="B359:D359"/>
    <mergeCell ref="B299:D299"/>
    <mergeCell ref="B304:D304"/>
    <mergeCell ref="B311:D311"/>
    <mergeCell ref="B318:D318"/>
    <mergeCell ref="B323:D323"/>
    <mergeCell ref="B461:D461"/>
    <mergeCell ref="B467:D467"/>
    <mergeCell ref="B256:D256"/>
    <mergeCell ref="B341:D341"/>
    <mergeCell ref="B391:D391"/>
    <mergeCell ref="B396:D396"/>
    <mergeCell ref="B402:D402"/>
    <mergeCell ref="B412:D412"/>
    <mergeCell ref="B364:D364"/>
    <mergeCell ref="B369:D369"/>
    <mergeCell ref="B375:D375"/>
    <mergeCell ref="B381:D381"/>
    <mergeCell ref="B386:D386"/>
    <mergeCell ref="B330:D330"/>
    <mergeCell ref="B335:D335"/>
    <mergeCell ref="B347:D347"/>
  </mergeCells>
  <phoneticPr fontId="16" type="noConversion"/>
  <pageMargins left="0.671875" right="0.52312499999999995" top="0.79729166666666662" bottom="0.98425196850393704" header="0.51181102362204722" footer="0.51181102362204722"/>
  <pageSetup paperSize="9" scale="86" orientation="portrait" r:id="rId1"/>
  <headerFooter alignWithMargins="0">
    <oddFooter>&amp;C&amp;"-,Regular"Página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4"/>
  <dimension ref="A1:J29"/>
  <sheetViews>
    <sheetView zoomScaleNormal="100" zoomScaleSheetLayoutView="85" workbookViewId="0">
      <selection sqref="A1:J29"/>
    </sheetView>
  </sheetViews>
  <sheetFormatPr defaultRowHeight="12.5" x14ac:dyDescent="0.25"/>
  <cols>
    <col min="1" max="1" width="7.453125" style="44" customWidth="1"/>
    <col min="2" max="2" width="42.7265625" style="44" customWidth="1"/>
    <col min="3" max="3" width="5.453125" style="44" customWidth="1"/>
    <col min="4" max="9" width="11.7265625" style="105" customWidth="1"/>
    <col min="10" max="10" width="12.7265625" style="105" customWidth="1"/>
    <col min="11" max="255" width="9.1796875" style="44"/>
    <col min="256" max="256" width="6.453125" style="44" customWidth="1"/>
    <col min="257" max="257" width="25.81640625" style="44" customWidth="1"/>
    <col min="258" max="258" width="5.453125" style="44" customWidth="1"/>
    <col min="259" max="265" width="10.7265625" style="44" customWidth="1"/>
    <col min="266" max="511" width="9.1796875" style="44"/>
    <col min="512" max="512" width="6.453125" style="44" customWidth="1"/>
    <col min="513" max="513" width="25.81640625" style="44" customWidth="1"/>
    <col min="514" max="514" width="5.453125" style="44" customWidth="1"/>
    <col min="515" max="521" width="10.7265625" style="44" customWidth="1"/>
    <col min="522" max="767" width="9.1796875" style="44"/>
    <col min="768" max="768" width="6.453125" style="44" customWidth="1"/>
    <col min="769" max="769" width="25.81640625" style="44" customWidth="1"/>
    <col min="770" max="770" width="5.453125" style="44" customWidth="1"/>
    <col min="771" max="777" width="10.7265625" style="44" customWidth="1"/>
    <col min="778" max="1023" width="9.1796875" style="44"/>
    <col min="1024" max="1024" width="6.453125" style="44" customWidth="1"/>
    <col min="1025" max="1025" width="25.81640625" style="44" customWidth="1"/>
    <col min="1026" max="1026" width="5.453125" style="44" customWidth="1"/>
    <col min="1027" max="1033" width="10.7265625" style="44" customWidth="1"/>
    <col min="1034" max="1279" width="9.1796875" style="44"/>
    <col min="1280" max="1280" width="6.453125" style="44" customWidth="1"/>
    <col min="1281" max="1281" width="25.81640625" style="44" customWidth="1"/>
    <col min="1282" max="1282" width="5.453125" style="44" customWidth="1"/>
    <col min="1283" max="1289" width="10.7265625" style="44" customWidth="1"/>
    <col min="1290" max="1535" width="9.1796875" style="44"/>
    <col min="1536" max="1536" width="6.453125" style="44" customWidth="1"/>
    <col min="1537" max="1537" width="25.81640625" style="44" customWidth="1"/>
    <col min="1538" max="1538" width="5.453125" style="44" customWidth="1"/>
    <col min="1539" max="1545" width="10.7265625" style="44" customWidth="1"/>
    <col min="1546" max="1791" width="9.1796875" style="44"/>
    <col min="1792" max="1792" width="6.453125" style="44" customWidth="1"/>
    <col min="1793" max="1793" width="25.81640625" style="44" customWidth="1"/>
    <col min="1794" max="1794" width="5.453125" style="44" customWidth="1"/>
    <col min="1795" max="1801" width="10.7265625" style="44" customWidth="1"/>
    <col min="1802" max="2047" width="9.1796875" style="44"/>
    <col min="2048" max="2048" width="6.453125" style="44" customWidth="1"/>
    <col min="2049" max="2049" width="25.81640625" style="44" customWidth="1"/>
    <col min="2050" max="2050" width="5.453125" style="44" customWidth="1"/>
    <col min="2051" max="2057" width="10.7265625" style="44" customWidth="1"/>
    <col min="2058" max="2303" width="9.1796875" style="44"/>
    <col min="2304" max="2304" width="6.453125" style="44" customWidth="1"/>
    <col min="2305" max="2305" width="25.81640625" style="44" customWidth="1"/>
    <col min="2306" max="2306" width="5.453125" style="44" customWidth="1"/>
    <col min="2307" max="2313" width="10.7265625" style="44" customWidth="1"/>
    <col min="2314" max="2559" width="9.1796875" style="44"/>
    <col min="2560" max="2560" width="6.453125" style="44" customWidth="1"/>
    <col min="2561" max="2561" width="25.81640625" style="44" customWidth="1"/>
    <col min="2562" max="2562" width="5.453125" style="44" customWidth="1"/>
    <col min="2563" max="2569" width="10.7265625" style="44" customWidth="1"/>
    <col min="2570" max="2815" width="9.1796875" style="44"/>
    <col min="2816" max="2816" width="6.453125" style="44" customWidth="1"/>
    <col min="2817" max="2817" width="25.81640625" style="44" customWidth="1"/>
    <col min="2818" max="2818" width="5.453125" style="44" customWidth="1"/>
    <col min="2819" max="2825" width="10.7265625" style="44" customWidth="1"/>
    <col min="2826" max="3071" width="9.1796875" style="44"/>
    <col min="3072" max="3072" width="6.453125" style="44" customWidth="1"/>
    <col min="3073" max="3073" width="25.81640625" style="44" customWidth="1"/>
    <col min="3074" max="3074" width="5.453125" style="44" customWidth="1"/>
    <col min="3075" max="3081" width="10.7265625" style="44" customWidth="1"/>
    <col min="3082" max="3327" width="9.1796875" style="44"/>
    <col min="3328" max="3328" width="6.453125" style="44" customWidth="1"/>
    <col min="3329" max="3329" width="25.81640625" style="44" customWidth="1"/>
    <col min="3330" max="3330" width="5.453125" style="44" customWidth="1"/>
    <col min="3331" max="3337" width="10.7265625" style="44" customWidth="1"/>
    <col min="3338" max="3583" width="9.1796875" style="44"/>
    <col min="3584" max="3584" width="6.453125" style="44" customWidth="1"/>
    <col min="3585" max="3585" width="25.81640625" style="44" customWidth="1"/>
    <col min="3586" max="3586" width="5.453125" style="44" customWidth="1"/>
    <col min="3587" max="3593" width="10.7265625" style="44" customWidth="1"/>
    <col min="3594" max="3839" width="9.1796875" style="44"/>
    <col min="3840" max="3840" width="6.453125" style="44" customWidth="1"/>
    <col min="3841" max="3841" width="25.81640625" style="44" customWidth="1"/>
    <col min="3842" max="3842" width="5.453125" style="44" customWidth="1"/>
    <col min="3843" max="3849" width="10.7265625" style="44" customWidth="1"/>
    <col min="3850" max="4095" width="9.1796875" style="44"/>
    <col min="4096" max="4096" width="6.453125" style="44" customWidth="1"/>
    <col min="4097" max="4097" width="25.81640625" style="44" customWidth="1"/>
    <col min="4098" max="4098" width="5.453125" style="44" customWidth="1"/>
    <col min="4099" max="4105" width="10.7265625" style="44" customWidth="1"/>
    <col min="4106" max="4351" width="9.1796875" style="44"/>
    <col min="4352" max="4352" width="6.453125" style="44" customWidth="1"/>
    <col min="4353" max="4353" width="25.81640625" style="44" customWidth="1"/>
    <col min="4354" max="4354" width="5.453125" style="44" customWidth="1"/>
    <col min="4355" max="4361" width="10.7265625" style="44" customWidth="1"/>
    <col min="4362" max="4607" width="9.1796875" style="44"/>
    <col min="4608" max="4608" width="6.453125" style="44" customWidth="1"/>
    <col min="4609" max="4609" width="25.81640625" style="44" customWidth="1"/>
    <col min="4610" max="4610" width="5.453125" style="44" customWidth="1"/>
    <col min="4611" max="4617" width="10.7265625" style="44" customWidth="1"/>
    <col min="4618" max="4863" width="9.1796875" style="44"/>
    <col min="4864" max="4864" width="6.453125" style="44" customWidth="1"/>
    <col min="4865" max="4865" width="25.81640625" style="44" customWidth="1"/>
    <col min="4866" max="4866" width="5.453125" style="44" customWidth="1"/>
    <col min="4867" max="4873" width="10.7265625" style="44" customWidth="1"/>
    <col min="4874" max="5119" width="9.1796875" style="44"/>
    <col min="5120" max="5120" width="6.453125" style="44" customWidth="1"/>
    <col min="5121" max="5121" width="25.81640625" style="44" customWidth="1"/>
    <col min="5122" max="5122" width="5.453125" style="44" customWidth="1"/>
    <col min="5123" max="5129" width="10.7265625" style="44" customWidth="1"/>
    <col min="5130" max="5375" width="9.1796875" style="44"/>
    <col min="5376" max="5376" width="6.453125" style="44" customWidth="1"/>
    <col min="5377" max="5377" width="25.81640625" style="44" customWidth="1"/>
    <col min="5378" max="5378" width="5.453125" style="44" customWidth="1"/>
    <col min="5379" max="5385" width="10.7265625" style="44" customWidth="1"/>
    <col min="5386" max="5631" width="9.1796875" style="44"/>
    <col min="5632" max="5632" width="6.453125" style="44" customWidth="1"/>
    <col min="5633" max="5633" width="25.81640625" style="44" customWidth="1"/>
    <col min="5634" max="5634" width="5.453125" style="44" customWidth="1"/>
    <col min="5635" max="5641" width="10.7265625" style="44" customWidth="1"/>
    <col min="5642" max="5887" width="9.1796875" style="44"/>
    <col min="5888" max="5888" width="6.453125" style="44" customWidth="1"/>
    <col min="5889" max="5889" width="25.81640625" style="44" customWidth="1"/>
    <col min="5890" max="5890" width="5.453125" style="44" customWidth="1"/>
    <col min="5891" max="5897" width="10.7265625" style="44" customWidth="1"/>
    <col min="5898" max="6143" width="9.1796875" style="44"/>
    <col min="6144" max="6144" width="6.453125" style="44" customWidth="1"/>
    <col min="6145" max="6145" width="25.81640625" style="44" customWidth="1"/>
    <col min="6146" max="6146" width="5.453125" style="44" customWidth="1"/>
    <col min="6147" max="6153" width="10.7265625" style="44" customWidth="1"/>
    <col min="6154" max="6399" width="9.1796875" style="44"/>
    <col min="6400" max="6400" width="6.453125" style="44" customWidth="1"/>
    <col min="6401" max="6401" width="25.81640625" style="44" customWidth="1"/>
    <col min="6402" max="6402" width="5.453125" style="44" customWidth="1"/>
    <col min="6403" max="6409" width="10.7265625" style="44" customWidth="1"/>
    <col min="6410" max="6655" width="9.1796875" style="44"/>
    <col min="6656" max="6656" width="6.453125" style="44" customWidth="1"/>
    <col min="6657" max="6657" width="25.81640625" style="44" customWidth="1"/>
    <col min="6658" max="6658" width="5.453125" style="44" customWidth="1"/>
    <col min="6659" max="6665" width="10.7265625" style="44" customWidth="1"/>
    <col min="6666" max="6911" width="9.1796875" style="44"/>
    <col min="6912" max="6912" width="6.453125" style="44" customWidth="1"/>
    <col min="6913" max="6913" width="25.81640625" style="44" customWidth="1"/>
    <col min="6914" max="6914" width="5.453125" style="44" customWidth="1"/>
    <col min="6915" max="6921" width="10.7265625" style="44" customWidth="1"/>
    <col min="6922" max="7167" width="9.1796875" style="44"/>
    <col min="7168" max="7168" width="6.453125" style="44" customWidth="1"/>
    <col min="7169" max="7169" width="25.81640625" style="44" customWidth="1"/>
    <col min="7170" max="7170" width="5.453125" style="44" customWidth="1"/>
    <col min="7171" max="7177" width="10.7265625" style="44" customWidth="1"/>
    <col min="7178" max="7423" width="9.1796875" style="44"/>
    <col min="7424" max="7424" width="6.453125" style="44" customWidth="1"/>
    <col min="7425" max="7425" width="25.81640625" style="44" customWidth="1"/>
    <col min="7426" max="7426" width="5.453125" style="44" customWidth="1"/>
    <col min="7427" max="7433" width="10.7265625" style="44" customWidth="1"/>
    <col min="7434" max="7679" width="9.1796875" style="44"/>
    <col min="7680" max="7680" width="6.453125" style="44" customWidth="1"/>
    <col min="7681" max="7681" width="25.81640625" style="44" customWidth="1"/>
    <col min="7682" max="7682" width="5.453125" style="44" customWidth="1"/>
    <col min="7683" max="7689" width="10.7265625" style="44" customWidth="1"/>
    <col min="7690" max="7935" width="9.1796875" style="44"/>
    <col min="7936" max="7936" width="6.453125" style="44" customWidth="1"/>
    <col min="7937" max="7937" width="25.81640625" style="44" customWidth="1"/>
    <col min="7938" max="7938" width="5.453125" style="44" customWidth="1"/>
    <col min="7939" max="7945" width="10.7265625" style="44" customWidth="1"/>
    <col min="7946" max="8191" width="9.1796875" style="44"/>
    <col min="8192" max="8192" width="6.453125" style="44" customWidth="1"/>
    <col min="8193" max="8193" width="25.81640625" style="44" customWidth="1"/>
    <col min="8194" max="8194" width="5.453125" style="44" customWidth="1"/>
    <col min="8195" max="8201" width="10.7265625" style="44" customWidth="1"/>
    <col min="8202" max="8447" width="9.1796875" style="44"/>
    <col min="8448" max="8448" width="6.453125" style="44" customWidth="1"/>
    <col min="8449" max="8449" width="25.81640625" style="44" customWidth="1"/>
    <col min="8450" max="8450" width="5.453125" style="44" customWidth="1"/>
    <col min="8451" max="8457" width="10.7265625" style="44" customWidth="1"/>
    <col min="8458" max="8703" width="9.1796875" style="44"/>
    <col min="8704" max="8704" width="6.453125" style="44" customWidth="1"/>
    <col min="8705" max="8705" width="25.81640625" style="44" customWidth="1"/>
    <col min="8706" max="8706" width="5.453125" style="44" customWidth="1"/>
    <col min="8707" max="8713" width="10.7265625" style="44" customWidth="1"/>
    <col min="8714" max="8959" width="9.1796875" style="44"/>
    <col min="8960" max="8960" width="6.453125" style="44" customWidth="1"/>
    <col min="8961" max="8961" width="25.81640625" style="44" customWidth="1"/>
    <col min="8962" max="8962" width="5.453125" style="44" customWidth="1"/>
    <col min="8963" max="8969" width="10.7265625" style="44" customWidth="1"/>
    <col min="8970" max="9215" width="9.1796875" style="44"/>
    <col min="9216" max="9216" width="6.453125" style="44" customWidth="1"/>
    <col min="9217" max="9217" width="25.81640625" style="44" customWidth="1"/>
    <col min="9218" max="9218" width="5.453125" style="44" customWidth="1"/>
    <col min="9219" max="9225" width="10.7265625" style="44" customWidth="1"/>
    <col min="9226" max="9471" width="9.1796875" style="44"/>
    <col min="9472" max="9472" width="6.453125" style="44" customWidth="1"/>
    <col min="9473" max="9473" width="25.81640625" style="44" customWidth="1"/>
    <col min="9474" max="9474" width="5.453125" style="44" customWidth="1"/>
    <col min="9475" max="9481" width="10.7265625" style="44" customWidth="1"/>
    <col min="9482" max="9727" width="9.1796875" style="44"/>
    <col min="9728" max="9728" width="6.453125" style="44" customWidth="1"/>
    <col min="9729" max="9729" width="25.81640625" style="44" customWidth="1"/>
    <col min="9730" max="9730" width="5.453125" style="44" customWidth="1"/>
    <col min="9731" max="9737" width="10.7265625" style="44" customWidth="1"/>
    <col min="9738" max="9983" width="9.1796875" style="44"/>
    <col min="9984" max="9984" width="6.453125" style="44" customWidth="1"/>
    <col min="9985" max="9985" width="25.81640625" style="44" customWidth="1"/>
    <col min="9986" max="9986" width="5.453125" style="44" customWidth="1"/>
    <col min="9987" max="9993" width="10.7265625" style="44" customWidth="1"/>
    <col min="9994" max="10239" width="9.1796875" style="44"/>
    <col min="10240" max="10240" width="6.453125" style="44" customWidth="1"/>
    <col min="10241" max="10241" width="25.81640625" style="44" customWidth="1"/>
    <col min="10242" max="10242" width="5.453125" style="44" customWidth="1"/>
    <col min="10243" max="10249" width="10.7265625" style="44" customWidth="1"/>
    <col min="10250" max="10495" width="9.1796875" style="44"/>
    <col min="10496" max="10496" width="6.453125" style="44" customWidth="1"/>
    <col min="10497" max="10497" width="25.81640625" style="44" customWidth="1"/>
    <col min="10498" max="10498" width="5.453125" style="44" customWidth="1"/>
    <col min="10499" max="10505" width="10.7265625" style="44" customWidth="1"/>
    <col min="10506" max="10751" width="9.1796875" style="44"/>
    <col min="10752" max="10752" width="6.453125" style="44" customWidth="1"/>
    <col min="10753" max="10753" width="25.81640625" style="44" customWidth="1"/>
    <col min="10754" max="10754" width="5.453125" style="44" customWidth="1"/>
    <col min="10755" max="10761" width="10.7265625" style="44" customWidth="1"/>
    <col min="10762" max="11007" width="9.1796875" style="44"/>
    <col min="11008" max="11008" width="6.453125" style="44" customWidth="1"/>
    <col min="11009" max="11009" width="25.81640625" style="44" customWidth="1"/>
    <col min="11010" max="11010" width="5.453125" style="44" customWidth="1"/>
    <col min="11011" max="11017" width="10.7265625" style="44" customWidth="1"/>
    <col min="11018" max="11263" width="9.1796875" style="44"/>
    <col min="11264" max="11264" width="6.453125" style="44" customWidth="1"/>
    <col min="11265" max="11265" width="25.81640625" style="44" customWidth="1"/>
    <col min="11266" max="11266" width="5.453125" style="44" customWidth="1"/>
    <col min="11267" max="11273" width="10.7265625" style="44" customWidth="1"/>
    <col min="11274" max="11519" width="9.1796875" style="44"/>
    <col min="11520" max="11520" width="6.453125" style="44" customWidth="1"/>
    <col min="11521" max="11521" width="25.81640625" style="44" customWidth="1"/>
    <col min="11522" max="11522" width="5.453125" style="44" customWidth="1"/>
    <col min="11523" max="11529" width="10.7265625" style="44" customWidth="1"/>
    <col min="11530" max="11775" width="9.1796875" style="44"/>
    <col min="11776" max="11776" width="6.453125" style="44" customWidth="1"/>
    <col min="11777" max="11777" width="25.81640625" style="44" customWidth="1"/>
    <col min="11778" max="11778" width="5.453125" style="44" customWidth="1"/>
    <col min="11779" max="11785" width="10.7265625" style="44" customWidth="1"/>
    <col min="11786" max="12031" width="9.1796875" style="44"/>
    <col min="12032" max="12032" width="6.453125" style="44" customWidth="1"/>
    <col min="12033" max="12033" width="25.81640625" style="44" customWidth="1"/>
    <col min="12034" max="12034" width="5.453125" style="44" customWidth="1"/>
    <col min="12035" max="12041" width="10.7265625" style="44" customWidth="1"/>
    <col min="12042" max="12287" width="9.1796875" style="44"/>
    <col min="12288" max="12288" width="6.453125" style="44" customWidth="1"/>
    <col min="12289" max="12289" width="25.81640625" style="44" customWidth="1"/>
    <col min="12290" max="12290" width="5.453125" style="44" customWidth="1"/>
    <col min="12291" max="12297" width="10.7265625" style="44" customWidth="1"/>
    <col min="12298" max="12543" width="9.1796875" style="44"/>
    <col min="12544" max="12544" width="6.453125" style="44" customWidth="1"/>
    <col min="12545" max="12545" width="25.81640625" style="44" customWidth="1"/>
    <col min="12546" max="12546" width="5.453125" style="44" customWidth="1"/>
    <col min="12547" max="12553" width="10.7265625" style="44" customWidth="1"/>
    <col min="12554" max="12799" width="9.1796875" style="44"/>
    <col min="12800" max="12800" width="6.453125" style="44" customWidth="1"/>
    <col min="12801" max="12801" width="25.81640625" style="44" customWidth="1"/>
    <col min="12802" max="12802" width="5.453125" style="44" customWidth="1"/>
    <col min="12803" max="12809" width="10.7265625" style="44" customWidth="1"/>
    <col min="12810" max="13055" width="9.1796875" style="44"/>
    <col min="13056" max="13056" width="6.453125" style="44" customWidth="1"/>
    <col min="13057" max="13057" width="25.81640625" style="44" customWidth="1"/>
    <col min="13058" max="13058" width="5.453125" style="44" customWidth="1"/>
    <col min="13059" max="13065" width="10.7265625" style="44" customWidth="1"/>
    <col min="13066" max="13311" width="9.1796875" style="44"/>
    <col min="13312" max="13312" width="6.453125" style="44" customWidth="1"/>
    <col min="13313" max="13313" width="25.81640625" style="44" customWidth="1"/>
    <col min="13314" max="13314" width="5.453125" style="44" customWidth="1"/>
    <col min="13315" max="13321" width="10.7265625" style="44" customWidth="1"/>
    <col min="13322" max="13567" width="9.1796875" style="44"/>
    <col min="13568" max="13568" width="6.453125" style="44" customWidth="1"/>
    <col min="13569" max="13569" width="25.81640625" style="44" customWidth="1"/>
    <col min="13570" max="13570" width="5.453125" style="44" customWidth="1"/>
    <col min="13571" max="13577" width="10.7265625" style="44" customWidth="1"/>
    <col min="13578" max="13823" width="9.1796875" style="44"/>
    <col min="13824" max="13824" width="6.453125" style="44" customWidth="1"/>
    <col min="13825" max="13825" width="25.81640625" style="44" customWidth="1"/>
    <col min="13826" max="13826" width="5.453125" style="44" customWidth="1"/>
    <col min="13827" max="13833" width="10.7265625" style="44" customWidth="1"/>
    <col min="13834" max="14079" width="9.1796875" style="44"/>
    <col min="14080" max="14080" width="6.453125" style="44" customWidth="1"/>
    <col min="14081" max="14081" width="25.81640625" style="44" customWidth="1"/>
    <col min="14082" max="14082" width="5.453125" style="44" customWidth="1"/>
    <col min="14083" max="14089" width="10.7265625" style="44" customWidth="1"/>
    <col min="14090" max="14335" width="9.1796875" style="44"/>
    <col min="14336" max="14336" width="6.453125" style="44" customWidth="1"/>
    <col min="14337" max="14337" width="25.81640625" style="44" customWidth="1"/>
    <col min="14338" max="14338" width="5.453125" style="44" customWidth="1"/>
    <col min="14339" max="14345" width="10.7265625" style="44" customWidth="1"/>
    <col min="14346" max="14591" width="9.1796875" style="44"/>
    <col min="14592" max="14592" width="6.453125" style="44" customWidth="1"/>
    <col min="14593" max="14593" width="25.81640625" style="44" customWidth="1"/>
    <col min="14594" max="14594" width="5.453125" style="44" customWidth="1"/>
    <col min="14595" max="14601" width="10.7265625" style="44" customWidth="1"/>
    <col min="14602" max="14847" width="9.1796875" style="44"/>
    <col min="14848" max="14848" width="6.453125" style="44" customWidth="1"/>
    <col min="14849" max="14849" width="25.81640625" style="44" customWidth="1"/>
    <col min="14850" max="14850" width="5.453125" style="44" customWidth="1"/>
    <col min="14851" max="14857" width="10.7265625" style="44" customWidth="1"/>
    <col min="14858" max="15103" width="9.1796875" style="44"/>
    <col min="15104" max="15104" width="6.453125" style="44" customWidth="1"/>
    <col min="15105" max="15105" width="25.81640625" style="44" customWidth="1"/>
    <col min="15106" max="15106" width="5.453125" style="44" customWidth="1"/>
    <col min="15107" max="15113" width="10.7265625" style="44" customWidth="1"/>
    <col min="15114" max="15359" width="9.1796875" style="44"/>
    <col min="15360" max="15360" width="6.453125" style="44" customWidth="1"/>
    <col min="15361" max="15361" width="25.81640625" style="44" customWidth="1"/>
    <col min="15362" max="15362" width="5.453125" style="44" customWidth="1"/>
    <col min="15363" max="15369" width="10.7265625" style="44" customWidth="1"/>
    <col min="15370" max="15615" width="9.1796875" style="44"/>
    <col min="15616" max="15616" width="6.453125" style="44" customWidth="1"/>
    <col min="15617" max="15617" width="25.81640625" style="44" customWidth="1"/>
    <col min="15618" max="15618" width="5.453125" style="44" customWidth="1"/>
    <col min="15619" max="15625" width="10.7265625" style="44" customWidth="1"/>
    <col min="15626" max="15871" width="9.1796875" style="44"/>
    <col min="15872" max="15872" width="6.453125" style="44" customWidth="1"/>
    <col min="15873" max="15873" width="25.81640625" style="44" customWidth="1"/>
    <col min="15874" max="15874" width="5.453125" style="44" customWidth="1"/>
    <col min="15875" max="15881" width="10.7265625" style="44" customWidth="1"/>
    <col min="15882" max="16127" width="9.1796875" style="44"/>
    <col min="16128" max="16128" width="6.453125" style="44" customWidth="1"/>
    <col min="16129" max="16129" width="25.81640625" style="44" customWidth="1"/>
    <col min="16130" max="16130" width="5.453125" style="44" customWidth="1"/>
    <col min="16131" max="16137" width="10.7265625" style="44" customWidth="1"/>
    <col min="16138" max="16384" width="9.1796875" style="44"/>
  </cols>
  <sheetData>
    <row r="1" spans="1:10" ht="15.5" x14ac:dyDescent="0.35">
      <c r="A1" s="323" t="str">
        <f>BASE!A1</f>
        <v>PREFEITURA MUNICIPAL DE BOM CONSELHO</v>
      </c>
      <c r="B1" s="324"/>
      <c r="C1" s="324"/>
      <c r="D1" s="324"/>
      <c r="E1" s="324"/>
      <c r="F1" s="324"/>
      <c r="G1" s="324"/>
      <c r="H1" s="324"/>
      <c r="I1" s="324"/>
      <c r="J1" s="325"/>
    </row>
    <row r="2" spans="1:10" ht="12.75" customHeight="1" x14ac:dyDescent="0.35">
      <c r="A2" s="335"/>
      <c r="B2" s="336"/>
      <c r="C2" s="336"/>
      <c r="D2" s="336"/>
      <c r="E2" s="336"/>
      <c r="F2" s="336"/>
      <c r="G2" s="336"/>
      <c r="H2" s="336"/>
      <c r="I2" s="336"/>
      <c r="J2" s="337"/>
    </row>
    <row r="3" spans="1:10" ht="15.5" x14ac:dyDescent="0.35">
      <c r="A3" s="326" t="s">
        <v>659</v>
      </c>
      <c r="B3" s="327"/>
      <c r="C3" s="327"/>
      <c r="D3" s="327"/>
      <c r="E3" s="327"/>
      <c r="F3" s="327"/>
      <c r="G3" s="327"/>
      <c r="H3" s="327"/>
      <c r="I3" s="327"/>
      <c r="J3" s="328"/>
    </row>
    <row r="4" spans="1:10" ht="12.75" customHeight="1" x14ac:dyDescent="0.25">
      <c r="A4" s="341"/>
      <c r="B4" s="342"/>
      <c r="C4" s="342"/>
      <c r="D4" s="342"/>
      <c r="E4" s="342"/>
      <c r="F4" s="342"/>
      <c r="G4" s="342"/>
      <c r="H4" s="342"/>
      <c r="I4" s="342"/>
      <c r="J4" s="343"/>
    </row>
    <row r="5" spans="1:10" ht="12.75" customHeight="1" x14ac:dyDescent="0.25">
      <c r="A5" s="344"/>
      <c r="B5" s="345"/>
      <c r="C5" s="345"/>
      <c r="D5" s="345"/>
      <c r="E5" s="345"/>
      <c r="F5" s="345"/>
      <c r="G5" s="345"/>
      <c r="H5" s="345"/>
      <c r="I5" s="345"/>
      <c r="J5" s="346"/>
    </row>
    <row r="6" spans="1:10" ht="12.75" customHeight="1" x14ac:dyDescent="0.3">
      <c r="A6" s="144" t="s">
        <v>660</v>
      </c>
      <c r="B6" s="333" t="str">
        <f>BASE!B6</f>
        <v>REFORMA E REVITALIZAÇÃO DO CENTRO DE LAZER MUNICIPAL (BEIRA RIO)</v>
      </c>
      <c r="C6" s="331"/>
      <c r="D6" s="331"/>
      <c r="E6" s="331"/>
      <c r="F6" s="331"/>
      <c r="G6" s="331"/>
      <c r="H6" s="331"/>
      <c r="I6" s="331"/>
      <c r="J6" s="334"/>
    </row>
    <row r="7" spans="1:10" ht="13" x14ac:dyDescent="0.3">
      <c r="A7" s="145" t="str">
        <f>BASE!A7</f>
        <v>LOCAL:</v>
      </c>
      <c r="B7" s="331" t="str">
        <f>BASE!B7</f>
        <v>BOM CONSELHO/PE</v>
      </c>
      <c r="C7" s="331"/>
      <c r="D7" s="331"/>
      <c r="E7" s="331"/>
      <c r="F7" s="331"/>
      <c r="G7" s="331"/>
      <c r="H7" s="331"/>
      <c r="I7" s="331"/>
      <c r="J7" s="332"/>
    </row>
    <row r="8" spans="1:10" ht="13" x14ac:dyDescent="0.3">
      <c r="A8" s="338"/>
      <c r="B8" s="339"/>
      <c r="C8" s="339"/>
      <c r="D8" s="339"/>
      <c r="E8" s="339"/>
      <c r="F8" s="339"/>
      <c r="G8" s="339"/>
      <c r="H8" s="339"/>
      <c r="I8" s="339"/>
      <c r="J8" s="340"/>
    </row>
    <row r="9" spans="1:10" ht="13.5" thickBot="1" x14ac:dyDescent="0.35">
      <c r="A9" s="146" t="s">
        <v>8</v>
      </c>
      <c r="B9" s="146" t="s">
        <v>661</v>
      </c>
      <c r="C9" s="146"/>
      <c r="D9" s="147" t="s">
        <v>662</v>
      </c>
      <c r="E9" s="147" t="s">
        <v>663</v>
      </c>
      <c r="F9" s="147" t="s">
        <v>664</v>
      </c>
      <c r="G9" s="147" t="s">
        <v>665</v>
      </c>
      <c r="H9" s="147" t="s">
        <v>666</v>
      </c>
      <c r="I9" s="147" t="s">
        <v>667</v>
      </c>
      <c r="J9" s="147" t="s">
        <v>668</v>
      </c>
    </row>
    <row r="10" spans="1:10" ht="13.5" thickTop="1" x14ac:dyDescent="0.3">
      <c r="A10" s="329" t="s">
        <v>19</v>
      </c>
      <c r="B10" s="330" t="s">
        <v>669</v>
      </c>
      <c r="C10" s="148" t="s">
        <v>670</v>
      </c>
      <c r="D10" s="149">
        <f t="shared" ref="D10:I10" si="0">D11*$J10</f>
        <v>63535.109999999993</v>
      </c>
      <c r="E10" s="149">
        <f t="shared" si="0"/>
        <v>0</v>
      </c>
      <c r="F10" s="149">
        <f t="shared" si="0"/>
        <v>0</v>
      </c>
      <c r="G10" s="149">
        <f t="shared" si="0"/>
        <v>0</v>
      </c>
      <c r="H10" s="149">
        <f t="shared" si="0"/>
        <v>0</v>
      </c>
      <c r="I10" s="149">
        <f t="shared" si="0"/>
        <v>0</v>
      </c>
      <c r="J10" s="149">
        <f>BASE!I11</f>
        <v>63535.109999999993</v>
      </c>
    </row>
    <row r="11" spans="1:10" ht="13" x14ac:dyDescent="0.3">
      <c r="A11" s="320"/>
      <c r="B11" s="322"/>
      <c r="C11" s="150" t="s">
        <v>671</v>
      </c>
      <c r="D11" s="151">
        <v>1</v>
      </c>
      <c r="E11" s="152"/>
      <c r="F11" s="152"/>
      <c r="G11" s="152"/>
      <c r="H11" s="152"/>
      <c r="I11" s="152"/>
      <c r="J11" s="152">
        <f>SUM(D11:I11)</f>
        <v>1</v>
      </c>
    </row>
    <row r="12" spans="1:10" ht="13" x14ac:dyDescent="0.3">
      <c r="A12" s="319" t="str">
        <f>BASE!A17</f>
        <v>2.0</v>
      </c>
      <c r="B12" s="321" t="str">
        <f>BASE!D17</f>
        <v xml:space="preserve">DEMOLIÇÕES </v>
      </c>
      <c r="C12" s="153" t="s">
        <v>670</v>
      </c>
      <c r="D12" s="149">
        <f t="shared" ref="D12:I12" si="1">D13*$J12</f>
        <v>51197.689999999995</v>
      </c>
      <c r="E12" s="149">
        <f t="shared" si="1"/>
        <v>0</v>
      </c>
      <c r="F12" s="149">
        <f t="shared" si="1"/>
        <v>0</v>
      </c>
      <c r="G12" s="149">
        <f t="shared" si="1"/>
        <v>0</v>
      </c>
      <c r="H12" s="149">
        <f t="shared" si="1"/>
        <v>0</v>
      </c>
      <c r="I12" s="149">
        <f t="shared" si="1"/>
        <v>0</v>
      </c>
      <c r="J12" s="149">
        <f>BASE!I17</f>
        <v>51197.689999999995</v>
      </c>
    </row>
    <row r="13" spans="1:10" ht="13" x14ac:dyDescent="0.3">
      <c r="A13" s="320"/>
      <c r="B13" s="322"/>
      <c r="C13" s="150" t="s">
        <v>671</v>
      </c>
      <c r="D13" s="152">
        <v>1</v>
      </c>
      <c r="E13" s="152"/>
      <c r="F13" s="152"/>
      <c r="G13" s="152"/>
      <c r="H13" s="152"/>
      <c r="I13" s="152"/>
      <c r="J13" s="152">
        <f>SUM(D13:I13)</f>
        <v>1</v>
      </c>
    </row>
    <row r="14" spans="1:10" ht="13" x14ac:dyDescent="0.3">
      <c r="A14" s="319" t="str">
        <f>BASE!A29</f>
        <v>3.0</v>
      </c>
      <c r="B14" s="321" t="str">
        <f>BASE!D29</f>
        <v>INFRA-ESTRUTURA</v>
      </c>
      <c r="C14" s="153" t="s">
        <v>670</v>
      </c>
      <c r="D14" s="149">
        <f t="shared" ref="D14:I14" si="2">D15*$J14</f>
        <v>103361.64</v>
      </c>
      <c r="E14" s="149">
        <f t="shared" si="2"/>
        <v>0</v>
      </c>
      <c r="F14" s="149">
        <f t="shared" si="2"/>
        <v>0</v>
      </c>
      <c r="G14" s="149">
        <f t="shared" si="2"/>
        <v>0</v>
      </c>
      <c r="H14" s="149">
        <f t="shared" si="2"/>
        <v>0</v>
      </c>
      <c r="I14" s="149">
        <f t="shared" si="2"/>
        <v>0</v>
      </c>
      <c r="J14" s="149">
        <f>BASE!I29</f>
        <v>103361.64</v>
      </c>
    </row>
    <row r="15" spans="1:10" ht="13" x14ac:dyDescent="0.3">
      <c r="A15" s="320"/>
      <c r="B15" s="322"/>
      <c r="C15" s="150" t="s">
        <v>671</v>
      </c>
      <c r="D15" s="152">
        <v>1</v>
      </c>
      <c r="E15" s="152"/>
      <c r="F15" s="152"/>
      <c r="G15" s="152"/>
      <c r="H15" s="152"/>
      <c r="I15" s="152"/>
      <c r="J15" s="152">
        <f>SUM(D15:I15)</f>
        <v>1</v>
      </c>
    </row>
    <row r="16" spans="1:10" ht="13" x14ac:dyDescent="0.3">
      <c r="A16" s="319" t="str">
        <f>BASE!A44</f>
        <v>4.0</v>
      </c>
      <c r="B16" s="321" t="str">
        <f>BASE!D44</f>
        <v xml:space="preserve">PAVIMENTAÇÃO </v>
      </c>
      <c r="C16" s="153" t="s">
        <v>670</v>
      </c>
      <c r="D16" s="149">
        <f t="shared" ref="D16:I16" si="3">D17*$J16</f>
        <v>0</v>
      </c>
      <c r="E16" s="149">
        <f t="shared" si="3"/>
        <v>207837.79499999998</v>
      </c>
      <c r="F16" s="149">
        <f t="shared" si="3"/>
        <v>207837.79499999998</v>
      </c>
      <c r="G16" s="149">
        <f t="shared" si="3"/>
        <v>0</v>
      </c>
      <c r="H16" s="149">
        <f t="shared" si="3"/>
        <v>0</v>
      </c>
      <c r="I16" s="149">
        <f t="shared" si="3"/>
        <v>0</v>
      </c>
      <c r="J16" s="149">
        <f>BASE!I44</f>
        <v>415675.58999999997</v>
      </c>
    </row>
    <row r="17" spans="1:10" ht="13" x14ac:dyDescent="0.3">
      <c r="A17" s="320"/>
      <c r="B17" s="322"/>
      <c r="C17" s="150" t="s">
        <v>671</v>
      </c>
      <c r="D17" s="152"/>
      <c r="E17" s="152">
        <v>0.5</v>
      </c>
      <c r="F17" s="152">
        <v>0.5</v>
      </c>
      <c r="G17" s="152"/>
      <c r="H17" s="152"/>
      <c r="I17" s="152"/>
      <c r="J17" s="152">
        <f>SUM(D17:I17)</f>
        <v>1</v>
      </c>
    </row>
    <row r="18" spans="1:10" ht="13" x14ac:dyDescent="0.3">
      <c r="A18" s="319" t="str">
        <f>BASE!A52</f>
        <v>5.0</v>
      </c>
      <c r="B18" s="321" t="str">
        <f>BASE!D52</f>
        <v>PINTURA</v>
      </c>
      <c r="C18" s="153" t="s">
        <v>670</v>
      </c>
      <c r="D18" s="149">
        <f t="shared" ref="D18:I18" si="4">D19*$J18</f>
        <v>0</v>
      </c>
      <c r="E18" s="149">
        <f t="shared" si="4"/>
        <v>0</v>
      </c>
      <c r="F18" s="149">
        <f t="shared" si="4"/>
        <v>0</v>
      </c>
      <c r="G18" s="149">
        <f t="shared" si="4"/>
        <v>41728.595000000001</v>
      </c>
      <c r="H18" s="149">
        <f t="shared" si="4"/>
        <v>41728.595000000001</v>
      </c>
      <c r="I18" s="149">
        <f t="shared" si="4"/>
        <v>0</v>
      </c>
      <c r="J18" s="149">
        <f>BASE!I52</f>
        <v>83457.19</v>
      </c>
    </row>
    <row r="19" spans="1:10" ht="13" x14ac:dyDescent="0.3">
      <c r="A19" s="320"/>
      <c r="B19" s="322"/>
      <c r="C19" s="150" t="s">
        <v>671</v>
      </c>
      <c r="D19" s="152"/>
      <c r="E19" s="152"/>
      <c r="F19" s="152"/>
      <c r="G19" s="152">
        <v>0.5</v>
      </c>
      <c r="H19" s="152">
        <v>0.5</v>
      </c>
      <c r="I19" s="152"/>
      <c r="J19" s="152">
        <f>SUM(D19:I19)</f>
        <v>1</v>
      </c>
    </row>
    <row r="20" spans="1:10" ht="13" x14ac:dyDescent="0.3">
      <c r="A20" s="319" t="str">
        <f>BASE!A62</f>
        <v>6.0</v>
      </c>
      <c r="B20" s="321" t="str">
        <f>BASE!D62</f>
        <v>COBERTURA</v>
      </c>
      <c r="C20" s="153" t="s">
        <v>670</v>
      </c>
      <c r="D20" s="149">
        <f t="shared" ref="D20:I20" si="5">D21*$J20</f>
        <v>0</v>
      </c>
      <c r="E20" s="149">
        <f t="shared" si="5"/>
        <v>0</v>
      </c>
      <c r="F20" s="149">
        <f t="shared" si="5"/>
        <v>0</v>
      </c>
      <c r="G20" s="149">
        <f t="shared" si="5"/>
        <v>47880.025000000001</v>
      </c>
      <c r="H20" s="149">
        <f t="shared" si="5"/>
        <v>47880.025000000001</v>
      </c>
      <c r="I20" s="149">
        <f t="shared" si="5"/>
        <v>0</v>
      </c>
      <c r="J20" s="149">
        <f>BASE!I62</f>
        <v>95760.05</v>
      </c>
    </row>
    <row r="21" spans="1:10" ht="13" x14ac:dyDescent="0.3">
      <c r="A21" s="320"/>
      <c r="B21" s="322"/>
      <c r="C21" s="150" t="s">
        <v>671</v>
      </c>
      <c r="D21" s="152"/>
      <c r="E21" s="152"/>
      <c r="F21" s="152"/>
      <c r="G21" s="152">
        <v>0.5</v>
      </c>
      <c r="H21" s="152">
        <v>0.5</v>
      </c>
      <c r="I21" s="152"/>
      <c r="J21" s="152">
        <f>SUM(D21:I21)</f>
        <v>1</v>
      </c>
    </row>
    <row r="22" spans="1:10" ht="13" x14ac:dyDescent="0.3">
      <c r="A22" s="319" t="str">
        <f>BASE!A68</f>
        <v>7.0</v>
      </c>
      <c r="B22" s="321" t="str">
        <f>BASE!D68</f>
        <v>ESQUADRIAS E GRADIL</v>
      </c>
      <c r="C22" s="153" t="s">
        <v>670</v>
      </c>
      <c r="D22" s="149">
        <f t="shared" ref="D22:I22" si="6">D23*$J22</f>
        <v>0</v>
      </c>
      <c r="E22" s="149">
        <f t="shared" si="6"/>
        <v>0</v>
      </c>
      <c r="F22" s="149">
        <f t="shared" si="6"/>
        <v>0</v>
      </c>
      <c r="G22" s="149">
        <f t="shared" si="6"/>
        <v>86360.68</v>
      </c>
      <c r="H22" s="149">
        <f t="shared" si="6"/>
        <v>86360.68</v>
      </c>
      <c r="I22" s="149">
        <f t="shared" si="6"/>
        <v>0</v>
      </c>
      <c r="J22" s="149">
        <f>BASE!I68</f>
        <v>172721.36</v>
      </c>
    </row>
    <row r="23" spans="1:10" ht="13" x14ac:dyDescent="0.3">
      <c r="A23" s="320"/>
      <c r="B23" s="322"/>
      <c r="C23" s="150" t="s">
        <v>671</v>
      </c>
      <c r="D23" s="152"/>
      <c r="E23" s="152"/>
      <c r="F23" s="152"/>
      <c r="G23" s="152">
        <v>0.5</v>
      </c>
      <c r="H23" s="152">
        <v>0.5</v>
      </c>
      <c r="I23" s="152"/>
      <c r="J23" s="152">
        <f>SUM(D23:I23)</f>
        <v>1</v>
      </c>
    </row>
    <row r="24" spans="1:10" ht="13" x14ac:dyDescent="0.3">
      <c r="A24" s="319" t="str">
        <f>BASE!A77</f>
        <v>8.0</v>
      </c>
      <c r="B24" s="321" t="str">
        <f>BASE!D77</f>
        <v xml:space="preserve">INSTALAÇÕES ELETRICAS E ILUMINAÇÃO </v>
      </c>
      <c r="C24" s="153" t="s">
        <v>670</v>
      </c>
      <c r="D24" s="149">
        <f t="shared" ref="D24:I24" si="7">D25*$J24</f>
        <v>0</v>
      </c>
      <c r="E24" s="149">
        <f t="shared" si="7"/>
        <v>0</v>
      </c>
      <c r="F24" s="149">
        <f t="shared" si="7"/>
        <v>0</v>
      </c>
      <c r="G24" s="149">
        <f t="shared" si="7"/>
        <v>40608.316499999994</v>
      </c>
      <c r="H24" s="149">
        <f t="shared" si="7"/>
        <v>40608.316499999994</v>
      </c>
      <c r="I24" s="149">
        <f t="shared" si="7"/>
        <v>189505.47699999998</v>
      </c>
      <c r="J24" s="149">
        <f>BASE!I77</f>
        <v>270722.11</v>
      </c>
    </row>
    <row r="25" spans="1:10" ht="13" x14ac:dyDescent="0.3">
      <c r="A25" s="320"/>
      <c r="B25" s="322"/>
      <c r="C25" s="150" t="s">
        <v>671</v>
      </c>
      <c r="D25" s="152"/>
      <c r="E25" s="152"/>
      <c r="F25" s="152"/>
      <c r="G25" s="152">
        <v>0.15</v>
      </c>
      <c r="H25" s="152">
        <v>0.15</v>
      </c>
      <c r="I25" s="152">
        <v>0.7</v>
      </c>
      <c r="J25" s="152">
        <f>SUM(D25:I25)</f>
        <v>1</v>
      </c>
    </row>
    <row r="26" spans="1:10" ht="13" x14ac:dyDescent="0.3">
      <c r="A26" s="319" t="str">
        <f>BASE!A92</f>
        <v>9.0</v>
      </c>
      <c r="B26" s="321" t="str">
        <f>BASE!D92</f>
        <v>SERVIÇOS FINAIS</v>
      </c>
      <c r="C26" s="153" t="s">
        <v>670</v>
      </c>
      <c r="D26" s="149">
        <f t="shared" ref="D26:I26" si="8">D27*$J26</f>
        <v>0</v>
      </c>
      <c r="E26" s="149">
        <f t="shared" si="8"/>
        <v>0</v>
      </c>
      <c r="F26" s="149">
        <f t="shared" si="8"/>
        <v>0</v>
      </c>
      <c r="G26" s="149">
        <f t="shared" si="8"/>
        <v>0</v>
      </c>
      <c r="H26" s="149">
        <f t="shared" si="8"/>
        <v>0</v>
      </c>
      <c r="I26" s="149">
        <f t="shared" si="8"/>
        <v>119982.06</v>
      </c>
      <c r="J26" s="149">
        <f>BASE!I92</f>
        <v>119982.06</v>
      </c>
    </row>
    <row r="27" spans="1:10" ht="13.5" thickBot="1" x14ac:dyDescent="0.35">
      <c r="A27" s="320"/>
      <c r="B27" s="322"/>
      <c r="C27" s="150" t="s">
        <v>671</v>
      </c>
      <c r="D27" s="152"/>
      <c r="E27" s="152"/>
      <c r="F27" s="152"/>
      <c r="G27" s="152"/>
      <c r="H27" s="152"/>
      <c r="I27" s="152">
        <v>1</v>
      </c>
      <c r="J27" s="152">
        <f>SUM(D27:I27)</f>
        <v>1</v>
      </c>
    </row>
    <row r="28" spans="1:10" ht="13.5" thickTop="1" x14ac:dyDescent="0.3">
      <c r="A28" s="347"/>
      <c r="B28" s="349" t="s">
        <v>668</v>
      </c>
      <c r="C28" s="154" t="s">
        <v>670</v>
      </c>
      <c r="D28" s="155">
        <f t="shared" ref="D28:I28" si="9">SUM(D10+D12+D14+D16+D18+D20+D26+D22+D24)</f>
        <v>218094.44</v>
      </c>
      <c r="E28" s="155">
        <f t="shared" si="9"/>
        <v>207837.79499999998</v>
      </c>
      <c r="F28" s="155">
        <f t="shared" si="9"/>
        <v>207837.79499999998</v>
      </c>
      <c r="G28" s="155">
        <f t="shared" si="9"/>
        <v>216577.61649999997</v>
      </c>
      <c r="H28" s="155">
        <f t="shared" si="9"/>
        <v>216577.61649999997</v>
      </c>
      <c r="I28" s="155">
        <f t="shared" si="9"/>
        <v>309487.53700000001</v>
      </c>
      <c r="J28" s="156">
        <f>D28+E28+F28+G28+H28+I28</f>
        <v>1376412.8</v>
      </c>
    </row>
    <row r="29" spans="1:10" ht="13" x14ac:dyDescent="0.3">
      <c r="A29" s="348"/>
      <c r="B29" s="322"/>
      <c r="C29" s="150" t="s">
        <v>671</v>
      </c>
      <c r="D29" s="157">
        <f>D28/J28*100</f>
        <v>15.845133087980582</v>
      </c>
      <c r="E29" s="157">
        <f>E28/J28*100</f>
        <v>15.099960927419447</v>
      </c>
      <c r="F29" s="157">
        <f>F28/J28*100</f>
        <v>15.099960927419447</v>
      </c>
      <c r="G29" s="157">
        <f>G28/J28*100</f>
        <v>15.734931882353894</v>
      </c>
      <c r="H29" s="157">
        <f>H28/J28*100</f>
        <v>15.734931882353894</v>
      </c>
      <c r="I29" s="157">
        <f>I28/J28*100</f>
        <v>22.485081292472721</v>
      </c>
      <c r="J29" s="158">
        <f>SUM(D29+E29+F29+G29+H29+I29)</f>
        <v>99.999999999999972</v>
      </c>
    </row>
  </sheetData>
  <mergeCells count="27">
    <mergeCell ref="A28:A29"/>
    <mergeCell ref="B28:B29"/>
    <mergeCell ref="A12:A13"/>
    <mergeCell ref="A14:A15"/>
    <mergeCell ref="B12:B13"/>
    <mergeCell ref="B14:B15"/>
    <mergeCell ref="A26:A27"/>
    <mergeCell ref="B26:B27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1:J1"/>
    <mergeCell ref="A3:J3"/>
    <mergeCell ref="A10:A11"/>
    <mergeCell ref="B10:B11"/>
    <mergeCell ref="B7:J7"/>
    <mergeCell ref="B6:J6"/>
    <mergeCell ref="A2:J2"/>
    <mergeCell ref="A8:J8"/>
    <mergeCell ref="A4:J5"/>
  </mergeCells>
  <pageMargins left="0.49431818181818182" right="0.20681818181818182" top="0.80625000000000002" bottom="0.98425196850393704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2"/>
  <sheetViews>
    <sheetView showGridLines="0" zoomScaleNormal="100" zoomScaleSheetLayoutView="100" workbookViewId="0">
      <selection sqref="A1:D22"/>
    </sheetView>
  </sheetViews>
  <sheetFormatPr defaultColWidth="9.1796875" defaultRowHeight="14.5" x14ac:dyDescent="0.35"/>
  <cols>
    <col min="1" max="1" width="7.7265625" style="170" customWidth="1"/>
    <col min="2" max="2" width="48.7265625" style="170" customWidth="1"/>
    <col min="3" max="4" width="10.7265625" style="170" customWidth="1"/>
    <col min="5" max="16384" width="9.1796875" style="170"/>
  </cols>
  <sheetData>
    <row r="1" spans="1:6" ht="15.5" x14ac:dyDescent="0.35">
      <c r="A1" s="353" t="str">
        <f>BASE!A1</f>
        <v>PREFEITURA MUNICIPAL DE BOM CONSELHO</v>
      </c>
      <c r="B1" s="354"/>
      <c r="C1" s="354"/>
      <c r="D1" s="355"/>
    </row>
    <row r="2" spans="1:6" ht="12.75" customHeight="1" x14ac:dyDescent="0.35">
      <c r="A2" s="171"/>
      <c r="B2" s="172"/>
      <c r="C2" s="172"/>
      <c r="D2" s="173"/>
    </row>
    <row r="3" spans="1:6" ht="15.5" x14ac:dyDescent="0.35">
      <c r="A3" s="356" t="s">
        <v>672</v>
      </c>
      <c r="B3" s="357"/>
      <c r="C3" s="357"/>
      <c r="D3" s="358"/>
    </row>
    <row r="4" spans="1:6" ht="12.75" customHeight="1" x14ac:dyDescent="0.35">
      <c r="A4" s="359"/>
      <c r="B4" s="360"/>
      <c r="C4" s="360"/>
      <c r="D4" s="361"/>
    </row>
    <row r="5" spans="1:6" ht="12.75" customHeight="1" x14ac:dyDescent="0.35">
      <c r="A5" s="362"/>
      <c r="B5" s="363"/>
      <c r="C5" s="363"/>
      <c r="D5" s="364"/>
    </row>
    <row r="6" spans="1:6" ht="12.75" customHeight="1" x14ac:dyDescent="0.35">
      <c r="A6" s="174" t="str">
        <f>[7]Base!A4</f>
        <v>OBRA:</v>
      </c>
      <c r="B6" s="365" t="str">
        <f>BASE!B6</f>
        <v>REFORMA E REVITALIZAÇÃO DO CENTRO DE LAZER MUNICIPAL (BEIRA RIO)</v>
      </c>
      <c r="C6" s="365"/>
      <c r="D6" s="366"/>
    </row>
    <row r="7" spans="1:6" ht="12.75" customHeight="1" x14ac:dyDescent="0.35">
      <c r="A7" s="175" t="str">
        <f>[7]Base!A5</f>
        <v>LOCAL:</v>
      </c>
      <c r="B7" s="176" t="str">
        <f>BASE!B7</f>
        <v>BOM CONSELHO/PE</v>
      </c>
      <c r="C7" s="177"/>
      <c r="D7" s="178"/>
    </row>
    <row r="8" spans="1:6" ht="12.75" customHeight="1" x14ac:dyDescent="0.45">
      <c r="A8" s="367"/>
      <c r="B8" s="368"/>
      <c r="C8" s="368"/>
      <c r="D8" s="369"/>
    </row>
    <row r="9" spans="1:6" ht="15.5" x14ac:dyDescent="0.35">
      <c r="A9" s="179" t="s">
        <v>8</v>
      </c>
      <c r="B9" s="179" t="s">
        <v>673</v>
      </c>
      <c r="C9" s="179"/>
      <c r="D9" s="179" t="s">
        <v>671</v>
      </c>
    </row>
    <row r="10" spans="1:6" ht="15.5" x14ac:dyDescent="0.35">
      <c r="A10" s="180">
        <v>1</v>
      </c>
      <c r="B10" s="181" t="s">
        <v>674</v>
      </c>
      <c r="C10" s="182"/>
      <c r="D10" s="183">
        <v>3.8</v>
      </c>
      <c r="F10" s="183">
        <v>3</v>
      </c>
    </row>
    <row r="11" spans="1:6" ht="15.5" x14ac:dyDescent="0.35">
      <c r="A11" s="180">
        <v>2</v>
      </c>
      <c r="B11" s="181" t="s">
        <v>675</v>
      </c>
      <c r="C11" s="182"/>
      <c r="D11" s="183">
        <v>0.32</v>
      </c>
      <c r="F11" s="183">
        <v>0.97</v>
      </c>
    </row>
    <row r="12" spans="1:6" ht="15.5" x14ac:dyDescent="0.35">
      <c r="A12" s="180">
        <v>3</v>
      </c>
      <c r="B12" s="181" t="s">
        <v>676</v>
      </c>
      <c r="C12" s="182"/>
      <c r="D12" s="183">
        <v>0.5</v>
      </c>
      <c r="F12" s="183">
        <v>0.59</v>
      </c>
    </row>
    <row r="13" spans="1:6" ht="15.5" x14ac:dyDescent="0.35">
      <c r="A13" s="180">
        <v>4</v>
      </c>
      <c r="B13" s="181" t="s">
        <v>677</v>
      </c>
      <c r="C13" s="182"/>
      <c r="D13" s="183">
        <v>1.02</v>
      </c>
      <c r="F13" s="183">
        <v>6.16</v>
      </c>
    </row>
    <row r="14" spans="1:6" ht="15.5" x14ac:dyDescent="0.35">
      <c r="A14" s="180">
        <v>5</v>
      </c>
      <c r="B14" s="181" t="s">
        <v>678</v>
      </c>
      <c r="C14" s="182"/>
      <c r="D14" s="183">
        <v>4.83</v>
      </c>
    </row>
    <row r="15" spans="1:6" ht="15.5" x14ac:dyDescent="0.35">
      <c r="A15" s="180">
        <v>6</v>
      </c>
      <c r="B15" s="181" t="s">
        <v>679</v>
      </c>
      <c r="C15" s="182"/>
      <c r="D15" s="183">
        <f>SUM(C16:C19)</f>
        <v>10.65</v>
      </c>
    </row>
    <row r="16" spans="1:6" ht="15.5" x14ac:dyDescent="0.35">
      <c r="A16" s="180"/>
      <c r="B16" s="184" t="s">
        <v>680</v>
      </c>
      <c r="C16" s="185">
        <v>0.65</v>
      </c>
      <c r="D16" s="183"/>
    </row>
    <row r="17" spans="1:4" ht="15.5" x14ac:dyDescent="0.35">
      <c r="A17" s="180"/>
      <c r="B17" s="184" t="s">
        <v>681</v>
      </c>
      <c r="C17" s="185">
        <v>3</v>
      </c>
      <c r="D17" s="183"/>
    </row>
    <row r="18" spans="1:4" ht="15.5" x14ac:dyDescent="0.35">
      <c r="A18" s="180"/>
      <c r="B18" s="184" t="s">
        <v>682</v>
      </c>
      <c r="C18" s="185">
        <v>2.5</v>
      </c>
      <c r="D18" s="183"/>
    </row>
    <row r="19" spans="1:4" ht="15.5" x14ac:dyDescent="0.35">
      <c r="A19" s="180"/>
      <c r="B19" s="184" t="s">
        <v>683</v>
      </c>
      <c r="C19" s="185">
        <v>4.5</v>
      </c>
      <c r="D19" s="183"/>
    </row>
    <row r="20" spans="1:4" ht="15.5" x14ac:dyDescent="0.35">
      <c r="A20" s="370" t="s">
        <v>668</v>
      </c>
      <c r="B20" s="371"/>
      <c r="C20" s="372"/>
      <c r="D20" s="197">
        <f>((((1+(D10/100+D12/100+D11/100))*(1+D13/100)*(1+D14/100))/(1-D15/100))-1)*100</f>
        <v>23.99755130296586</v>
      </c>
    </row>
    <row r="21" spans="1:4" x14ac:dyDescent="0.35">
      <c r="A21" s="186"/>
      <c r="B21" s="187"/>
      <c r="C21" s="187"/>
      <c r="D21" s="188"/>
    </row>
    <row r="22" spans="1:4" ht="15.5" x14ac:dyDescent="0.35">
      <c r="A22" s="350" t="s">
        <v>684</v>
      </c>
      <c r="B22" s="351"/>
      <c r="C22" s="351"/>
      <c r="D22" s="352"/>
    </row>
  </sheetData>
  <mergeCells count="7">
    <mergeCell ref="A22:D22"/>
    <mergeCell ref="A1:D1"/>
    <mergeCell ref="A3:D3"/>
    <mergeCell ref="A4:D5"/>
    <mergeCell ref="B6:D6"/>
    <mergeCell ref="A8:D8"/>
    <mergeCell ref="A20:C20"/>
  </mergeCells>
  <pageMargins left="1.3321875000000001" right="1.2324999999999999" top="0.796875" bottom="0.78740157499999996" header="0.31496062000000002" footer="0.31496062000000002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AA464-8626-43DE-A467-4BA5DBFB57AE}">
  <sheetPr>
    <tabColor theme="3" tint="0.39997558519241921"/>
  </sheetPr>
  <dimension ref="A1:K21"/>
  <sheetViews>
    <sheetView showGridLines="0" zoomScaleNormal="100" zoomScaleSheetLayoutView="115" workbookViewId="0">
      <selection sqref="A1:G16"/>
    </sheetView>
  </sheetViews>
  <sheetFormatPr defaultColWidth="9.1796875" defaultRowHeight="13" x14ac:dyDescent="0.3"/>
  <cols>
    <col min="1" max="1" width="7.7265625" style="99" customWidth="1"/>
    <col min="2" max="2" width="9.453125" style="113" customWidth="1"/>
    <col min="3" max="3" width="51.26953125" style="100" bestFit="1" customWidth="1"/>
    <col min="4" max="4" width="5.7265625" style="101" customWidth="1"/>
    <col min="5" max="5" width="11.1796875" style="102" customWidth="1"/>
    <col min="6" max="6" width="11.453125" style="102" customWidth="1"/>
    <col min="7" max="7" width="12.7265625" style="103" customWidth="1"/>
    <col min="8" max="8" width="15.54296875" style="102" customWidth="1"/>
    <col min="9" max="9" width="11.453125" style="64" customWidth="1"/>
    <col min="10" max="12" width="9.1796875" style="64" customWidth="1"/>
    <col min="13" max="16384" width="9.1796875" style="64"/>
  </cols>
  <sheetData>
    <row r="1" spans="1:11" x14ac:dyDescent="0.3">
      <c r="A1" s="65" t="s">
        <v>685</v>
      </c>
      <c r="B1" s="109"/>
      <c r="C1" s="66" t="s">
        <v>98</v>
      </c>
      <c r="D1" s="67"/>
      <c r="E1" s="67"/>
      <c r="F1" s="68" t="s">
        <v>686</v>
      </c>
      <c r="G1" s="69" t="s">
        <v>687</v>
      </c>
      <c r="H1" s="63"/>
      <c r="I1" s="60"/>
      <c r="J1" s="60"/>
      <c r="K1" s="62"/>
    </row>
    <row r="2" spans="1:11" ht="22.15" customHeight="1" x14ac:dyDescent="0.3">
      <c r="A2" s="70" t="s">
        <v>688</v>
      </c>
      <c r="B2" s="110"/>
      <c r="C2" s="373" t="s">
        <v>100</v>
      </c>
      <c r="D2" s="373"/>
      <c r="E2" s="373"/>
      <c r="F2" s="373"/>
      <c r="G2" s="374"/>
      <c r="H2" s="60"/>
      <c r="I2" s="62"/>
      <c r="J2" s="62"/>
      <c r="K2" s="62"/>
    </row>
    <row r="3" spans="1:11" ht="12.75" customHeight="1" x14ac:dyDescent="0.3">
      <c r="A3" s="71" t="s">
        <v>689</v>
      </c>
      <c r="B3" s="111" t="s">
        <v>690</v>
      </c>
      <c r="C3" s="71" t="s">
        <v>691</v>
      </c>
      <c r="D3" s="71" t="s">
        <v>692</v>
      </c>
      <c r="E3" s="71" t="s">
        <v>265</v>
      </c>
      <c r="F3" s="72" t="s">
        <v>693</v>
      </c>
      <c r="G3" s="73" t="s">
        <v>694</v>
      </c>
      <c r="H3" s="60"/>
      <c r="I3" s="61"/>
      <c r="J3" s="61"/>
      <c r="K3" s="62"/>
    </row>
    <row r="4" spans="1:11" x14ac:dyDescent="0.3">
      <c r="A4" s="71"/>
      <c r="B4" s="111"/>
      <c r="C4" s="74" t="s">
        <v>695</v>
      </c>
      <c r="D4" s="74"/>
      <c r="E4" s="74"/>
      <c r="F4" s="75"/>
      <c r="G4" s="76"/>
      <c r="H4" s="63"/>
      <c r="I4" s="60"/>
      <c r="J4" s="60"/>
      <c r="K4" s="62"/>
    </row>
    <row r="5" spans="1:11" ht="21" x14ac:dyDescent="0.3">
      <c r="A5" s="77">
        <v>88309</v>
      </c>
      <c r="B5" s="77" t="s">
        <v>696</v>
      </c>
      <c r="C5" s="106" t="s">
        <v>697</v>
      </c>
      <c r="D5" s="77" t="s">
        <v>698</v>
      </c>
      <c r="E5" s="79">
        <v>1.1399999999999999</v>
      </c>
      <c r="F5" s="80">
        <v>19.32</v>
      </c>
      <c r="G5" s="81">
        <f t="shared" ref="G5:G6" si="0">TRUNC((E5*F5),2)</f>
        <v>22.02</v>
      </c>
      <c r="H5" s="104"/>
      <c r="I5" s="60"/>
      <c r="J5" s="60"/>
      <c r="K5" s="62"/>
    </row>
    <row r="6" spans="1:11" ht="21" x14ac:dyDescent="0.3">
      <c r="A6" s="77">
        <v>88316</v>
      </c>
      <c r="B6" s="77" t="s">
        <v>696</v>
      </c>
      <c r="C6" s="106" t="s">
        <v>699</v>
      </c>
      <c r="D6" s="77" t="s">
        <v>698</v>
      </c>
      <c r="E6" s="79">
        <v>0.88</v>
      </c>
      <c r="F6" s="80">
        <v>15.57</v>
      </c>
      <c r="G6" s="81">
        <f t="shared" si="0"/>
        <v>13.7</v>
      </c>
      <c r="H6" s="104"/>
      <c r="I6" s="60"/>
      <c r="J6" s="60"/>
      <c r="K6" s="62"/>
    </row>
    <row r="7" spans="1:11" x14ac:dyDescent="0.3">
      <c r="A7" s="71"/>
      <c r="B7" s="111"/>
      <c r="C7" s="74"/>
      <c r="D7" s="375" t="s">
        <v>700</v>
      </c>
      <c r="E7" s="376"/>
      <c r="F7" s="377"/>
      <c r="G7" s="82">
        <f>SUM(G5:G6)</f>
        <v>35.72</v>
      </c>
      <c r="H7" s="83"/>
    </row>
    <row r="8" spans="1:11" x14ac:dyDescent="0.3">
      <c r="A8" s="71"/>
      <c r="B8" s="111"/>
      <c r="C8" s="74" t="s">
        <v>701</v>
      </c>
      <c r="D8" s="74"/>
      <c r="E8" s="74"/>
      <c r="F8" s="75"/>
      <c r="G8" s="76"/>
      <c r="H8" s="84"/>
    </row>
    <row r="9" spans="1:11" ht="21" x14ac:dyDescent="0.3">
      <c r="A9" s="77">
        <v>7271</v>
      </c>
      <c r="B9" s="77" t="s">
        <v>702</v>
      </c>
      <c r="C9" s="78" t="s">
        <v>703</v>
      </c>
      <c r="D9" s="77" t="s">
        <v>704</v>
      </c>
      <c r="E9" s="79">
        <v>54</v>
      </c>
      <c r="F9" s="80">
        <v>0.6</v>
      </c>
      <c r="G9" s="81">
        <f t="shared" ref="G9" si="1">TRUNC((E9*F9),2)</f>
        <v>32.4</v>
      </c>
      <c r="H9" s="84"/>
    </row>
    <row r="10" spans="1:11" x14ac:dyDescent="0.3">
      <c r="A10" s="71"/>
      <c r="B10" s="111"/>
      <c r="C10" s="74"/>
      <c r="D10" s="74"/>
      <c r="E10" s="375" t="s">
        <v>705</v>
      </c>
      <c r="F10" s="377"/>
      <c r="G10" s="82">
        <f>SUM(G9:G9)</f>
        <v>32.4</v>
      </c>
      <c r="H10" s="83"/>
    </row>
    <row r="11" spans="1:11" x14ac:dyDescent="0.3">
      <c r="A11" s="71"/>
      <c r="B11" s="111"/>
      <c r="C11" s="74" t="s">
        <v>661</v>
      </c>
      <c r="D11" s="74"/>
      <c r="E11" s="74"/>
      <c r="F11" s="75"/>
      <c r="G11" s="76"/>
      <c r="H11" s="84"/>
    </row>
    <row r="12" spans="1:11" ht="31.5" x14ac:dyDescent="0.3">
      <c r="A12" s="77">
        <v>87292</v>
      </c>
      <c r="B12" s="77" t="s">
        <v>696</v>
      </c>
      <c r="C12" s="225" t="s">
        <v>706</v>
      </c>
      <c r="D12" s="77" t="s">
        <v>707</v>
      </c>
      <c r="E12" s="79">
        <v>1.38E-2</v>
      </c>
      <c r="F12" s="86">
        <v>512.45000000000005</v>
      </c>
      <c r="G12" s="81">
        <f t="shared" ref="G12" si="2">TRUNC((E12*F12),2)</f>
        <v>7.07</v>
      </c>
      <c r="H12" s="84"/>
    </row>
    <row r="13" spans="1:11" x14ac:dyDescent="0.3">
      <c r="A13" s="74"/>
      <c r="B13" s="112"/>
      <c r="C13" s="74"/>
      <c r="D13" s="74"/>
      <c r="E13" s="375" t="s">
        <v>708</v>
      </c>
      <c r="F13" s="377"/>
      <c r="G13" s="82">
        <f>SUM(G12:G12)</f>
        <v>7.07</v>
      </c>
      <c r="H13" s="83"/>
    </row>
    <row r="14" spans="1:11" x14ac:dyDescent="0.3">
      <c r="A14" s="87" t="s">
        <v>709</v>
      </c>
      <c r="B14" s="214"/>
      <c r="C14" s="88"/>
      <c r="D14" s="88"/>
      <c r="E14" s="88"/>
      <c r="F14" s="89" t="s">
        <v>710</v>
      </c>
      <c r="G14" s="90">
        <f>G7+G10+G13</f>
        <v>75.19</v>
      </c>
      <c r="H14" s="84"/>
    </row>
    <row r="15" spans="1:11" x14ac:dyDescent="0.3">
      <c r="A15" s="91"/>
      <c r="B15" s="198"/>
      <c r="C15" s="92"/>
      <c r="D15" s="92"/>
      <c r="E15" s="92"/>
      <c r="F15" s="84" t="s">
        <v>711</v>
      </c>
      <c r="G15" s="93">
        <f>ROUND((G14*0.24),2)</f>
        <v>18.05</v>
      </c>
      <c r="H15" s="84"/>
    </row>
    <row r="16" spans="1:11" x14ac:dyDescent="0.3">
      <c r="A16" s="94"/>
      <c r="B16" s="199"/>
      <c r="C16" s="95"/>
      <c r="D16" s="95"/>
      <c r="E16" s="95"/>
      <c r="F16" s="96" t="s">
        <v>712</v>
      </c>
      <c r="G16" s="97">
        <f>SUM(G14:G15)</f>
        <v>93.24</v>
      </c>
      <c r="H16" s="98"/>
    </row>
    <row r="17" spans="1:5" ht="31.5" hidden="1" x14ac:dyDescent="0.3">
      <c r="A17" s="200" t="s">
        <v>713</v>
      </c>
      <c r="B17" s="200" t="s">
        <v>714</v>
      </c>
      <c r="C17" s="201" t="s">
        <v>100</v>
      </c>
      <c r="D17" s="200" t="s">
        <v>715</v>
      </c>
      <c r="E17" s="200" t="s">
        <v>716</v>
      </c>
    </row>
    <row r="18" spans="1:5" ht="21" hidden="1" x14ac:dyDescent="0.3">
      <c r="A18" s="200" t="s">
        <v>717</v>
      </c>
      <c r="B18" s="200" t="s">
        <v>718</v>
      </c>
      <c r="C18" s="201" t="s">
        <v>719</v>
      </c>
      <c r="D18" s="200" t="s">
        <v>707</v>
      </c>
      <c r="E18" s="200">
        <v>1.38E-2</v>
      </c>
    </row>
    <row r="19" spans="1:5" ht="21" hidden="1" x14ac:dyDescent="0.3">
      <c r="A19" s="200" t="s">
        <v>717</v>
      </c>
      <c r="B19" s="200" t="s">
        <v>720</v>
      </c>
      <c r="C19" s="201" t="s">
        <v>697</v>
      </c>
      <c r="D19" s="200" t="s">
        <v>698</v>
      </c>
      <c r="E19" s="200">
        <v>1.1399999999999999</v>
      </c>
    </row>
    <row r="20" spans="1:5" ht="21" hidden="1" x14ac:dyDescent="0.3">
      <c r="A20" s="200" t="s">
        <v>717</v>
      </c>
      <c r="B20" s="200" t="s">
        <v>721</v>
      </c>
      <c r="C20" s="201" t="s">
        <v>699</v>
      </c>
      <c r="D20" s="200" t="s">
        <v>698</v>
      </c>
      <c r="E20" s="200">
        <v>0.88</v>
      </c>
    </row>
    <row r="21" spans="1:5" hidden="1" x14ac:dyDescent="0.3">
      <c r="A21" s="200" t="s">
        <v>722</v>
      </c>
      <c r="B21" s="200" t="s">
        <v>723</v>
      </c>
      <c r="C21" s="201" t="s">
        <v>703</v>
      </c>
      <c r="D21" s="200" t="s">
        <v>704</v>
      </c>
      <c r="E21" s="200">
        <v>54</v>
      </c>
    </row>
  </sheetData>
  <mergeCells count="4">
    <mergeCell ref="C2:G2"/>
    <mergeCell ref="D7:F7"/>
    <mergeCell ref="E10:F10"/>
    <mergeCell ref="E13:F13"/>
  </mergeCells>
  <conditionalFormatting sqref="A17:E21">
    <cfRule type="expression" dxfId="1" priority="1" stopIfTrue="1">
      <formula>AND($A17&lt;&gt;"COMPOSICAO",$A17&lt;&gt;"INSUMO",$A17&lt;&gt;"")</formula>
    </cfRule>
    <cfRule type="expression" dxfId="0" priority="2" stopIfTrue="1">
      <formula>AND(OR($A17="COMPOSICAO",$A17="INSUMO",$A17&lt;&gt;""),$A17&lt;&gt;"")</formula>
    </cfRule>
  </conditionalFormatting>
  <printOptions horizontalCentered="1"/>
  <pageMargins left="0.15748031496062992" right="0.15748031496062992" top="0.80625000000000002" bottom="0.63749999999999996" header="0.39370078740157483" footer="0.39370078740157483"/>
  <pageSetup paperSize="9" scale="90" orientation="portrait" r:id="rId1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FE895-FF69-4CC5-91D4-62169E39E53D}">
  <sheetPr>
    <tabColor theme="3" tint="0.39997558519241921"/>
  </sheetPr>
  <dimension ref="A1:K16"/>
  <sheetViews>
    <sheetView showGridLines="0" zoomScaleNormal="100" zoomScaleSheetLayoutView="115" workbookViewId="0">
      <selection sqref="A1:G16"/>
    </sheetView>
  </sheetViews>
  <sheetFormatPr defaultColWidth="9.1796875" defaultRowHeight="13" x14ac:dyDescent="0.3"/>
  <cols>
    <col min="1" max="1" width="7.7265625" style="99" customWidth="1"/>
    <col min="2" max="2" width="9.1796875" style="99" customWidth="1"/>
    <col min="3" max="3" width="51.26953125" style="100" bestFit="1" customWidth="1"/>
    <col min="4" max="4" width="5.7265625" style="101" customWidth="1"/>
    <col min="5" max="5" width="11.1796875" style="102" customWidth="1"/>
    <col min="6" max="6" width="11.453125" style="102" customWidth="1"/>
    <col min="7" max="7" width="12.7265625" style="103" customWidth="1"/>
    <col min="8" max="8" width="15.54296875" style="102" customWidth="1"/>
    <col min="9" max="9" width="11.453125" style="64" customWidth="1"/>
    <col min="10" max="12" width="9.1796875" style="64" customWidth="1"/>
    <col min="13" max="16384" width="9.1796875" style="64"/>
  </cols>
  <sheetData>
    <row r="1" spans="1:11" x14ac:dyDescent="0.3">
      <c r="A1" s="65" t="s">
        <v>685</v>
      </c>
      <c r="B1" s="107"/>
      <c r="C1" s="66" t="s">
        <v>724</v>
      </c>
      <c r="D1" s="67"/>
      <c r="E1" s="67"/>
      <c r="F1" s="68" t="s">
        <v>686</v>
      </c>
      <c r="G1" s="69" t="s">
        <v>725</v>
      </c>
      <c r="H1" s="63"/>
      <c r="I1" s="60"/>
      <c r="J1" s="60"/>
      <c r="K1" s="62"/>
    </row>
    <row r="2" spans="1:11" ht="22.5" customHeight="1" x14ac:dyDescent="0.3">
      <c r="A2" s="70" t="s">
        <v>688</v>
      </c>
      <c r="B2" s="108"/>
      <c r="C2" s="373" t="s">
        <v>212</v>
      </c>
      <c r="D2" s="373"/>
      <c r="E2" s="373"/>
      <c r="F2" s="373"/>
      <c r="G2" s="374"/>
      <c r="H2" s="60"/>
      <c r="I2" s="62"/>
      <c r="J2" s="62"/>
      <c r="K2" s="62"/>
    </row>
    <row r="3" spans="1:11" x14ac:dyDescent="0.3">
      <c r="A3" s="71" t="s">
        <v>689</v>
      </c>
      <c r="B3" s="111" t="s">
        <v>690</v>
      </c>
      <c r="C3" s="71" t="s">
        <v>691</v>
      </c>
      <c r="D3" s="71" t="s">
        <v>692</v>
      </c>
      <c r="E3" s="71" t="s">
        <v>265</v>
      </c>
      <c r="F3" s="72" t="s">
        <v>693</v>
      </c>
      <c r="G3" s="73" t="s">
        <v>694</v>
      </c>
      <c r="H3" s="60"/>
      <c r="I3" s="61"/>
      <c r="J3" s="61"/>
      <c r="K3" s="62"/>
    </row>
    <row r="4" spans="1:11" x14ac:dyDescent="0.3">
      <c r="A4" s="74"/>
      <c r="B4" s="74"/>
      <c r="C4" s="74" t="s">
        <v>695</v>
      </c>
      <c r="D4" s="74"/>
      <c r="E4" s="74"/>
      <c r="F4" s="75"/>
      <c r="G4" s="76"/>
      <c r="H4" s="63"/>
      <c r="I4" s="60"/>
      <c r="J4" s="60"/>
      <c r="K4" s="62"/>
    </row>
    <row r="5" spans="1:11" x14ac:dyDescent="0.3">
      <c r="A5" s="85"/>
      <c r="B5" s="77"/>
      <c r="C5" s="106"/>
      <c r="D5" s="77"/>
      <c r="E5" s="79"/>
      <c r="F5" s="79"/>
      <c r="G5" s="81">
        <f t="shared" ref="G5" si="0">TRUNC((E5*F5),2)</f>
        <v>0</v>
      </c>
      <c r="H5" s="104"/>
      <c r="I5" s="60"/>
      <c r="J5" s="60"/>
      <c r="K5" s="62"/>
    </row>
    <row r="6" spans="1:11" x14ac:dyDescent="0.3">
      <c r="A6" s="74"/>
      <c r="B6" s="74"/>
      <c r="C6" s="74"/>
      <c r="D6" s="375" t="s">
        <v>700</v>
      </c>
      <c r="E6" s="376"/>
      <c r="F6" s="377"/>
      <c r="G6" s="82">
        <f>SUM(G5:G5)</f>
        <v>0</v>
      </c>
      <c r="H6" s="83"/>
    </row>
    <row r="7" spans="1:11" x14ac:dyDescent="0.3">
      <c r="A7" s="221"/>
      <c r="B7" s="221"/>
      <c r="C7" s="221" t="s">
        <v>726</v>
      </c>
      <c r="D7" s="221"/>
      <c r="E7" s="221"/>
      <c r="F7" s="222"/>
      <c r="G7" s="76"/>
      <c r="H7" s="84"/>
    </row>
    <row r="8" spans="1:11" ht="21" x14ac:dyDescent="0.3">
      <c r="A8" s="217">
        <v>12081</v>
      </c>
      <c r="B8" s="217" t="s">
        <v>727</v>
      </c>
      <c r="C8" s="226" t="s">
        <v>728</v>
      </c>
      <c r="D8" s="217" t="s">
        <v>11</v>
      </c>
      <c r="E8" s="219">
        <v>1</v>
      </c>
      <c r="F8" s="220">
        <v>236.31</v>
      </c>
      <c r="G8" s="81">
        <f>TRUNC((E8*F8),2)</f>
        <v>236.31</v>
      </c>
      <c r="H8" s="84"/>
    </row>
    <row r="9" spans="1:11" x14ac:dyDescent="0.3">
      <c r="A9" s="217"/>
      <c r="B9" s="217"/>
      <c r="C9" s="218"/>
      <c r="D9" s="217"/>
      <c r="E9" s="219"/>
      <c r="F9" s="220"/>
      <c r="G9" s="81">
        <f>TRUNC((E9*F9),2)</f>
        <v>0</v>
      </c>
      <c r="H9" s="84"/>
    </row>
    <row r="10" spans="1:11" x14ac:dyDescent="0.3">
      <c r="A10" s="221"/>
      <c r="B10" s="221"/>
      <c r="C10" s="221"/>
      <c r="D10" s="221"/>
      <c r="E10" s="378" t="s">
        <v>705</v>
      </c>
      <c r="F10" s="379"/>
      <c r="G10" s="82">
        <f>SUM(G8:G9)</f>
        <v>236.31</v>
      </c>
      <c r="H10" s="83"/>
    </row>
    <row r="11" spans="1:11" x14ac:dyDescent="0.3">
      <c r="A11" s="221"/>
      <c r="B11" s="221"/>
      <c r="C11" s="221" t="s">
        <v>661</v>
      </c>
      <c r="D11" s="221"/>
      <c r="E11" s="221"/>
      <c r="F11" s="222"/>
      <c r="G11" s="76"/>
      <c r="H11" s="84"/>
    </row>
    <row r="12" spans="1:11" ht="34" customHeight="1" x14ac:dyDescent="0.3">
      <c r="A12" s="223" t="s">
        <v>729</v>
      </c>
      <c r="B12" s="217" t="s">
        <v>730</v>
      </c>
      <c r="C12" s="226" t="s">
        <v>731</v>
      </c>
      <c r="D12" s="217" t="s">
        <v>11</v>
      </c>
      <c r="E12" s="219">
        <v>1</v>
      </c>
      <c r="F12" s="224">
        <v>52.21</v>
      </c>
      <c r="G12" s="81">
        <f t="shared" ref="G12" si="1">TRUNC((E12*F12),2)</f>
        <v>52.21</v>
      </c>
      <c r="H12" s="84"/>
    </row>
    <row r="13" spans="1:11" x14ac:dyDescent="0.3">
      <c r="A13" s="74"/>
      <c r="B13" s="74"/>
      <c r="C13" s="74"/>
      <c r="D13" s="74"/>
      <c r="E13" s="375" t="s">
        <v>708</v>
      </c>
      <c r="F13" s="377"/>
      <c r="G13" s="82">
        <f>SUM(G12:G12)</f>
        <v>52.21</v>
      </c>
      <c r="H13" s="83"/>
    </row>
    <row r="14" spans="1:11" x14ac:dyDescent="0.3">
      <c r="A14" s="87"/>
      <c r="B14" s="88"/>
      <c r="C14" s="88"/>
      <c r="D14" s="88"/>
      <c r="E14" s="88"/>
      <c r="F14" s="89" t="s">
        <v>710</v>
      </c>
      <c r="G14" s="90">
        <f>G6+G10+G13</f>
        <v>288.52</v>
      </c>
      <c r="H14" s="84"/>
    </row>
    <row r="15" spans="1:11" x14ac:dyDescent="0.3">
      <c r="A15" s="91"/>
      <c r="B15" s="92"/>
      <c r="C15" s="92"/>
      <c r="D15" s="92"/>
      <c r="E15" s="92"/>
      <c r="F15" s="84" t="s">
        <v>711</v>
      </c>
      <c r="G15" s="93">
        <f>ROUND((G14*0.24),2)</f>
        <v>69.239999999999995</v>
      </c>
      <c r="H15" s="84"/>
    </row>
    <row r="16" spans="1:11" x14ac:dyDescent="0.3">
      <c r="A16" s="94"/>
      <c r="B16" s="95"/>
      <c r="C16" s="95"/>
      <c r="D16" s="95"/>
      <c r="E16" s="95"/>
      <c r="F16" s="96" t="s">
        <v>712</v>
      </c>
      <c r="G16" s="97">
        <f>SUM(G14:G15)</f>
        <v>357.76</v>
      </c>
      <c r="H16" s="98"/>
    </row>
  </sheetData>
  <mergeCells count="4">
    <mergeCell ref="C2:G2"/>
    <mergeCell ref="D6:F6"/>
    <mergeCell ref="E10:F10"/>
    <mergeCell ref="E13:F13"/>
  </mergeCells>
  <printOptions horizontalCentered="1"/>
  <pageMargins left="0.15748031496062992" right="0.15748031496062992" top="0.80625000000000002" bottom="0.63749999999999996" header="0.39370078740157483" footer="0.39370078740157483"/>
  <pageSetup paperSize="9" scale="90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12</vt:i4>
      </vt:variant>
    </vt:vector>
  </HeadingPairs>
  <TitlesOfParts>
    <vt:vector size="23" baseType="lpstr">
      <vt:lpstr>BASE</vt:lpstr>
      <vt:lpstr>Planilha2</vt:lpstr>
      <vt:lpstr>Planilha1</vt:lpstr>
      <vt:lpstr>Base (2)</vt:lpstr>
      <vt:lpstr>MC</vt:lpstr>
      <vt:lpstr>CFF</vt:lpstr>
      <vt:lpstr>BDI</vt:lpstr>
      <vt:lpstr>CP-01</vt:lpstr>
      <vt:lpstr>CP-02</vt:lpstr>
      <vt:lpstr>CP-03</vt:lpstr>
      <vt:lpstr>ADM</vt:lpstr>
      <vt:lpstr>ADM!Area_de_impressao</vt:lpstr>
      <vt:lpstr>BASE!Area_de_impressao</vt:lpstr>
      <vt:lpstr>'Base (2)'!Area_de_impressao</vt:lpstr>
      <vt:lpstr>BDI!Area_de_impressao</vt:lpstr>
      <vt:lpstr>CFF!Area_de_impressao</vt:lpstr>
      <vt:lpstr>'CP-01'!Area_de_impressao</vt:lpstr>
      <vt:lpstr>'CP-02'!Area_de_impressao</vt:lpstr>
      <vt:lpstr>'CP-03'!Area_de_impressao</vt:lpstr>
      <vt:lpstr>MC!Area_de_impressao</vt:lpstr>
      <vt:lpstr>BASE!Titulos_de_impressao</vt:lpstr>
      <vt:lpstr>'Base (2)'!Titulos_de_impressao</vt:lpstr>
      <vt:lpstr>MC!Titulos_de_impressao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Fred Tenório</cp:lastModifiedBy>
  <cp:revision/>
  <dcterms:created xsi:type="dcterms:W3CDTF">2007-09-17T10:36:27Z</dcterms:created>
  <dcterms:modified xsi:type="dcterms:W3CDTF">2021-10-27T09:17:25Z</dcterms:modified>
  <cp:category/>
  <cp:contentStatus/>
</cp:coreProperties>
</file>