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dd5c3e1528f598/Área de Trabalho/FELIPE/Barragem Xingau/"/>
    </mc:Choice>
  </mc:AlternateContent>
  <xr:revisionPtr revIDLastSave="2" documentId="8_{832AC358-6D1C-478A-971A-B5E38F1EE667}" xr6:coauthVersionLast="47" xr6:coauthVersionMax="47" xr10:uidLastSave="{3623003A-B6E8-4C28-B4EE-E99F27DC31D5}"/>
  <bookViews>
    <workbookView xWindow="-110" yWindow="-110" windowWidth="19420" windowHeight="10300" tabRatio="768" firstSheet="1" activeTab="1" xr2:uid="{00000000-000D-0000-FFFF-FFFF00000000}"/>
  </bookViews>
  <sheets>
    <sheet name="RESUMO GERAL" sheetId="42" state="hidden" r:id="rId1"/>
    <sheet name="BASE" sheetId="44" r:id="rId2"/>
    <sheet name="MC REV" sheetId="3" r:id="rId3"/>
    <sheet name="Base (2)" sheetId="17" state="hidden" r:id="rId4"/>
    <sheet name="CFF" sheetId="4" r:id="rId5"/>
    <sheet name="BDI " sheetId="19" r:id="rId6"/>
    <sheet name="BDP" sheetId="20" r:id="rId7"/>
    <sheet name="CP01" sheetId="47" r:id="rId8"/>
    <sheet name="CP02" sheetId="4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tq200" localSheetId="1">'[1]Caracteristicas 1'!#REF!</definedName>
    <definedName name="___tq200" localSheetId="7">'[1]Caracteristicas 1'!#REF!</definedName>
    <definedName name="___tq200" localSheetId="8">'[1]Caracteristicas 1'!#REF!</definedName>
    <definedName name="___tq200" localSheetId="0">'[1]Caracteristicas 1'!#REF!</definedName>
    <definedName name="___tq200">'[1]Caracteristicas 1'!#REF!</definedName>
    <definedName name="___tq300" localSheetId="1">'[1]Caracteristicas 1'!#REF!</definedName>
    <definedName name="___tq300" localSheetId="0">'[1]Caracteristicas 1'!#REF!</definedName>
    <definedName name="___tq300">'[1]Caracteristicas 1'!#REF!</definedName>
    <definedName name="__tq200" localSheetId="1">'[2]Caracteristicas 1'!#REF!</definedName>
    <definedName name="__tq200" localSheetId="0">'[2]Caracteristicas 1'!#REF!</definedName>
    <definedName name="__tq200">'[2]Caracteristicas 1'!#REF!</definedName>
    <definedName name="__tq201" localSheetId="1">'[1]Caracteristicas 1'!#REF!</definedName>
    <definedName name="__tq201" localSheetId="0">'[1]Caracteristicas 1'!#REF!</definedName>
    <definedName name="__tq201">'[1]Caracteristicas 1'!#REF!</definedName>
    <definedName name="__tq202" localSheetId="1">#REF!</definedName>
    <definedName name="__tq202" localSheetId="8">#REF!</definedName>
    <definedName name="__tq202" localSheetId="0">#REF!</definedName>
    <definedName name="__tq202">#REF!</definedName>
    <definedName name="__tq300" localSheetId="1">'[2]Caracteristicas 1'!#REF!</definedName>
    <definedName name="__tq300" localSheetId="7">'[2]Caracteristicas 1'!#REF!</definedName>
    <definedName name="__tq300" localSheetId="8">'[2]Caracteristicas 1'!#REF!</definedName>
    <definedName name="__tq300" localSheetId="0">'[2]Caracteristicas 1'!#REF!</definedName>
    <definedName name="__tq300">'[2]Caracteristicas 1'!#REF!</definedName>
    <definedName name="__xlnm.Print_Area_1" localSheetId="8">#REF!</definedName>
    <definedName name="__xlnm.Print_Area_1">#REF!</definedName>
    <definedName name="_tq200" localSheetId="1">'[3]Caracteristicas 1'!#REF!</definedName>
    <definedName name="_tq200" localSheetId="0">'[3]Caracteristicas 1'!#REF!</definedName>
    <definedName name="_tq200">'[3]Caracteristicas 1'!#REF!</definedName>
    <definedName name="_tq201" localSheetId="1">'[4]Caracteristicas 1'!#REF!</definedName>
    <definedName name="_tq201" localSheetId="0">'[4]Caracteristicas 1'!#REF!</definedName>
    <definedName name="_tq201">'[4]Caracteristicas 1'!#REF!</definedName>
    <definedName name="_tq202" localSheetId="1">#REF!</definedName>
    <definedName name="_tq202" localSheetId="8">#REF!</definedName>
    <definedName name="_tq202" localSheetId="0">#REF!</definedName>
    <definedName name="_tq202">#REF!</definedName>
    <definedName name="_tq300" localSheetId="1">'[3]Caracteristicas 1'!#REF!</definedName>
    <definedName name="_tq300" localSheetId="7">'[3]Caracteristicas 1'!#REF!</definedName>
    <definedName name="_tq300" localSheetId="8">'[3]Caracteristicas 1'!#REF!</definedName>
    <definedName name="_tq300" localSheetId="0">'[3]Caracteristicas 1'!#REF!</definedName>
    <definedName name="_tq300">'[3]Caracteristicas 1'!#REF!</definedName>
    <definedName name="aaaa" localSheetId="1">'[5]Caracteristicas 1'!#REF!</definedName>
    <definedName name="aaaa" localSheetId="0">'[5]Caracteristicas 1'!#REF!</definedName>
    <definedName name="aaaa">'[5]Caracteristicas 1'!#REF!</definedName>
    <definedName name="_xlnm.Print_Area" localSheetId="1">BASE!$A$1:$I$38</definedName>
    <definedName name="_xlnm.Print_Area" localSheetId="3">'Base (2)'!$A$1:$G$191</definedName>
    <definedName name="_xlnm.Print_Area" localSheetId="5">'BDI '!$A$1:$D$24</definedName>
    <definedName name="_xlnm.Print_Area" localSheetId="6">BDP!$A$1:$C$13</definedName>
    <definedName name="_xlnm.Print_Area" localSheetId="8">'CP02'!$A$1:$L$118</definedName>
    <definedName name="_xlnm.Print_Area" localSheetId="2">'MC REV'!$A$1:$H$82</definedName>
    <definedName name="_xlnm.Print_Area" localSheetId="0">'RESUMO GERAL'!$A$1:$C$20</definedName>
    <definedName name="AreaTeste" localSheetId="7">#REF!</definedName>
    <definedName name="AreaTeste" localSheetId="8">#REF!</definedName>
    <definedName name="AreaTeste">#REF!</definedName>
    <definedName name="AreaTeste2" localSheetId="8">#REF!</definedName>
    <definedName name="AreaTeste2">#REF!</definedName>
    <definedName name="_xlnm.Database" localSheetId="1">#REF!</definedName>
    <definedName name="_xlnm.Database" localSheetId="0">#REF!</definedName>
    <definedName name="_xlnm.Database">#REF!</definedName>
    <definedName name="CélulaInicioPlanilha">#REF!</definedName>
    <definedName name="CélulaResumo">#REF!</definedName>
    <definedName name="Dreno" localSheetId="1">#REF!</definedName>
    <definedName name="Dreno" localSheetId="0">#REF!</definedName>
    <definedName name="Dreno">#REF!</definedName>
    <definedName name="escav2m" localSheetId="1">#REF!</definedName>
    <definedName name="escav2m" localSheetId="0">#REF!</definedName>
    <definedName name="escav2m">#REF!</definedName>
    <definedName name="escav4m" localSheetId="1">#REF!</definedName>
    <definedName name="escav4m" localSheetId="0">#REF!</definedName>
    <definedName name="escav4m">#REF!</definedName>
    <definedName name="escav6m" localSheetId="1">#REF!</definedName>
    <definedName name="escav6m" localSheetId="0">#REF!</definedName>
    <definedName name="escav6m">#REF!</definedName>
    <definedName name="escavtot" localSheetId="1">#REF!</definedName>
    <definedName name="escavtot" localSheetId="0">#REF!</definedName>
    <definedName name="escavtot">#REF!</definedName>
    <definedName name="escoramtot" localSheetId="1">#REF!</definedName>
    <definedName name="escoramtot" localSheetId="0">#REF!</definedName>
    <definedName name="escoramtot">#REF!</definedName>
    <definedName name="extot" localSheetId="1">#REF!</definedName>
    <definedName name="extot" localSheetId="0">#REF!</definedName>
    <definedName name="extot">#REF!</definedName>
    <definedName name="firma2" localSheetId="1">#REF!</definedName>
    <definedName name="firma2" localSheetId="0">#REF!</definedName>
    <definedName name="firma2">#REF!</definedName>
    <definedName name="I" localSheetId="1">'[6]RESTAURAÇÃO '!#REF!</definedName>
    <definedName name="I" localSheetId="7">'[6]RESTAURAÇÃO '!#REF!</definedName>
    <definedName name="I" localSheetId="8">'[6]RESTAURAÇÃO '!#REF!</definedName>
    <definedName name="I" localSheetId="0">'[6]RESTAURAÇÃO '!#REF!</definedName>
    <definedName name="I">'[6]RESTAURAÇÃO '!#REF!</definedName>
    <definedName name="levguia" localSheetId="1">#REF!</definedName>
    <definedName name="levguia" localSheetId="8">#REF!</definedName>
    <definedName name="levguia" localSheetId="0">#REF!</definedName>
    <definedName name="levguia">#REF!</definedName>
    <definedName name="levsarj" localSheetId="1">#REF!</definedName>
    <definedName name="levsarj" localSheetId="0">#REF!</definedName>
    <definedName name="levsarj">#REF!</definedName>
    <definedName name="P" localSheetId="1">#REF!</definedName>
    <definedName name="P" localSheetId="0">#REF!</definedName>
    <definedName name="P">#REF!</definedName>
    <definedName name="Pasfalto" localSheetId="1">#REF!</definedName>
    <definedName name="Pasfalto" localSheetId="0">#REF!</definedName>
    <definedName name="Pasfalto">#REF!</definedName>
    <definedName name="Pcimentado" localSheetId="1">#REF!</definedName>
    <definedName name="Pcimentado" localSheetId="0">#REF!</definedName>
    <definedName name="Pcimentado">#REF!</definedName>
    <definedName name="Pgrama" localSheetId="1">#REF!</definedName>
    <definedName name="Pgrama" localSheetId="0">#REF!</definedName>
    <definedName name="Pgrama">#REF!</definedName>
    <definedName name="Ppedra" localSheetId="1">#REF!</definedName>
    <definedName name="Ppedra" localSheetId="0">#REF!</definedName>
    <definedName name="Ppedra">#REF!</definedName>
    <definedName name="Pterra" localSheetId="1">#REF!</definedName>
    <definedName name="Pterra" localSheetId="0">#REF!</definedName>
    <definedName name="Pterra">#REF!</definedName>
    <definedName name="reaterro" localSheetId="1">#REF!</definedName>
    <definedName name="reaterro" localSheetId="0">#REF!</definedName>
    <definedName name="reaterro">#REF!</definedName>
    <definedName name="Reblençol" localSheetId="1">#REF!</definedName>
    <definedName name="Reblençol" localSheetId="0">#REF!</definedName>
    <definedName name="Reblençol">#REF!</definedName>
    <definedName name="Relatório_de_status_de_OAC’S.">#REF!</definedName>
    <definedName name="sobresc" localSheetId="1">#REF!</definedName>
    <definedName name="sobresc" localSheetId="0">#REF!</definedName>
    <definedName name="sobresc">#REF!</definedName>
    <definedName name="_xlnm.Print_Titles" localSheetId="1">BASE!$1:$10</definedName>
    <definedName name="_xlnm.Print_Titles" localSheetId="3">'Base (2)'!$1:$7</definedName>
    <definedName name="_xlnm.Print_Titles" localSheetId="2">'MC REV'!$1:$8</definedName>
    <definedName name="_xlnm.Print_Titles" localSheetId="0">'RESUMO GERAL'!$1:$10</definedName>
    <definedName name="Tuboconcr" localSheetId="1">'[3]Caracteristicas 1'!#REF!</definedName>
    <definedName name="Tuboconcr" localSheetId="7">'[3]Caracteristicas 1'!#REF!</definedName>
    <definedName name="Tuboconcr" localSheetId="8">'[3]Caracteristicas 1'!#REF!</definedName>
    <definedName name="Tuboconcr" localSheetId="0">'[3]Caracteristicas 1'!#REF!</definedName>
    <definedName name="Tuboconcr">'[3]Caracteristicas 1'!#REF!</definedName>
    <definedName name="Tuboff" localSheetId="1">'[3]Caracteristicas 1'!#REF!</definedName>
    <definedName name="Tuboff" localSheetId="0">'[3]Caracteristicas 1'!#REF!</definedName>
    <definedName name="Tuboff">'[3]Caracteristicas 1'!#REF!</definedName>
    <definedName name="Tubopvc" localSheetId="1">'[3]Caracteristicas 1'!#REF!</definedName>
    <definedName name="Tubopvc" localSheetId="0">'[3]Caracteristicas 1'!#REF!</definedName>
    <definedName name="Tubopvc">'[3]Caracteristicas 1'!#REF!</definedName>
    <definedName name="WWWE" localSheetId="1">'[4]Caracteristicas 1'!#REF!</definedName>
    <definedName name="WWWE" localSheetId="0">'[4]Caracteristicas 1'!#REF!</definedName>
    <definedName name="WWWE">'[4]Caracteristicas 1'!#REF!</definedName>
    <definedName name="X" localSheetId="1">#REF!</definedName>
    <definedName name="X" localSheetId="8">#REF!</definedName>
    <definedName name="X" localSheetId="0">#REF!</definedName>
    <definedName name="X">#REF!</definedName>
    <definedName name="Z_2156E3C0_5B32_43B6_B27D_1293A2B34500_.wvu.Cols" localSheetId="7" hidden="1">'CP01'!$N:$N</definedName>
    <definedName name="Z_2156E3C0_5B32_43B6_B27D_1293A2B34500_.wvu.Cols" localSheetId="8" hidden="1">'CP02'!$N:$N</definedName>
    <definedName name="Z_B380A8F1_7B23_4135_8D50_CBDE6DEDABC0_.wvu.Cols" localSheetId="7" hidden="1">'CP01'!$N:$N</definedName>
    <definedName name="Z_B380A8F1_7B23_4135_8D50_CBDE6DEDABC0_.wvu.Cols" localSheetId="8" hidden="1">'CP02'!$N:$N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5" i="3" l="1"/>
  <c r="G104" i="3"/>
  <c r="G31" i="3" l="1"/>
  <c r="G25" i="3"/>
  <c r="G19" i="3"/>
  <c r="A29" i="3"/>
  <c r="A23" i="3"/>
  <c r="A17" i="3"/>
  <c r="A11" i="3"/>
  <c r="B11" i="3"/>
  <c r="B17" i="3"/>
  <c r="B23" i="3"/>
  <c r="B29" i="3"/>
  <c r="B28" i="3"/>
  <c r="A28" i="3"/>
  <c r="B22" i="3"/>
  <c r="A22" i="3"/>
  <c r="B16" i="3"/>
  <c r="A16" i="3"/>
  <c r="B10" i="3"/>
  <c r="A10" i="3"/>
  <c r="G32" i="3"/>
  <c r="G26" i="3"/>
  <c r="H19" i="44"/>
  <c r="L96" i="48"/>
  <c r="H96" i="48"/>
  <c r="H95" i="48"/>
  <c r="L95" i="48" s="1"/>
  <c r="H94" i="48"/>
  <c r="L94" i="48" s="1"/>
  <c r="G93" i="48"/>
  <c r="F93" i="48"/>
  <c r="D93" i="48"/>
  <c r="B93" i="48"/>
  <c r="A93" i="48"/>
  <c r="G92" i="48"/>
  <c r="F92" i="48"/>
  <c r="D92" i="48"/>
  <c r="B92" i="48"/>
  <c r="A92" i="48"/>
  <c r="G91" i="48"/>
  <c r="F91" i="48"/>
  <c r="D91" i="48"/>
  <c r="B91" i="48"/>
  <c r="A91" i="48"/>
  <c r="G90" i="48"/>
  <c r="F90" i="48"/>
  <c r="H90" i="48" s="1"/>
  <c r="L90" i="48" s="1"/>
  <c r="D90" i="48"/>
  <c r="B90" i="48"/>
  <c r="A90" i="48"/>
  <c r="G89" i="48"/>
  <c r="F89" i="48"/>
  <c r="D89" i="48"/>
  <c r="B89" i="48"/>
  <c r="A89" i="48"/>
  <c r="G88" i="48"/>
  <c r="F88" i="48"/>
  <c r="D88" i="48"/>
  <c r="B88" i="48"/>
  <c r="A88" i="48"/>
  <c r="G87" i="48"/>
  <c r="F87" i="48"/>
  <c r="D87" i="48"/>
  <c r="B87" i="48"/>
  <c r="A87" i="48"/>
  <c r="G86" i="48"/>
  <c r="F86" i="48"/>
  <c r="H86" i="48" s="1"/>
  <c r="L86" i="48" s="1"/>
  <c r="D86" i="48"/>
  <c r="B86" i="48"/>
  <c r="A86" i="48"/>
  <c r="G85" i="48"/>
  <c r="F85" i="48"/>
  <c r="D85" i="48"/>
  <c r="B85" i="48"/>
  <c r="A85" i="48"/>
  <c r="H84" i="48"/>
  <c r="L84" i="48" s="1"/>
  <c r="G84" i="48"/>
  <c r="F84" i="48"/>
  <c r="D84" i="48"/>
  <c r="B84" i="48"/>
  <c r="A84" i="48"/>
  <c r="H81" i="48"/>
  <c r="L81" i="48" s="1"/>
  <c r="L80" i="48"/>
  <c r="H80" i="48"/>
  <c r="L79" i="48"/>
  <c r="H79" i="48"/>
  <c r="G78" i="48"/>
  <c r="F78" i="48"/>
  <c r="G77" i="48"/>
  <c r="F77" i="48"/>
  <c r="D77" i="48"/>
  <c r="B77" i="48"/>
  <c r="A77" i="48"/>
  <c r="G76" i="48"/>
  <c r="F76" i="48"/>
  <c r="H76" i="48" s="1"/>
  <c r="L76" i="48" s="1"/>
  <c r="D76" i="48"/>
  <c r="B76" i="48"/>
  <c r="A76" i="48"/>
  <c r="G75" i="48"/>
  <c r="F75" i="48"/>
  <c r="D75" i="48"/>
  <c r="B75" i="48"/>
  <c r="A75" i="48"/>
  <c r="H72" i="48"/>
  <c r="L72" i="48" s="1"/>
  <c r="L71" i="48"/>
  <c r="H71" i="48"/>
  <c r="L70" i="48"/>
  <c r="H70" i="48"/>
  <c r="G69" i="48"/>
  <c r="F69" i="48"/>
  <c r="H69" i="48" s="1"/>
  <c r="L69" i="48" s="1"/>
  <c r="D69" i="48"/>
  <c r="B69" i="48"/>
  <c r="A69" i="48"/>
  <c r="G68" i="48"/>
  <c r="F68" i="48"/>
  <c r="H68" i="48" s="1"/>
  <c r="L68" i="48" s="1"/>
  <c r="D68" i="48"/>
  <c r="B68" i="48"/>
  <c r="A68" i="48"/>
  <c r="L65" i="48"/>
  <c r="H65" i="48"/>
  <c r="H64" i="48"/>
  <c r="L64" i="48" s="1"/>
  <c r="H63" i="48"/>
  <c r="L63" i="48" s="1"/>
  <c r="G62" i="48"/>
  <c r="F62" i="48"/>
  <c r="D62" i="48"/>
  <c r="B62" i="48"/>
  <c r="A62" i="48"/>
  <c r="G61" i="48"/>
  <c r="F61" i="48"/>
  <c r="D61" i="48"/>
  <c r="B61" i="48"/>
  <c r="A61" i="48"/>
  <c r="G60" i="48"/>
  <c r="H60" i="48" s="1"/>
  <c r="L60" i="48" s="1"/>
  <c r="F60" i="48"/>
  <c r="D60" i="48"/>
  <c r="B60" i="48"/>
  <c r="A60" i="48"/>
  <c r="K53" i="48"/>
  <c r="L53" i="48" s="1"/>
  <c r="D53" i="48"/>
  <c r="B53" i="48"/>
  <c r="A53" i="48"/>
  <c r="K52" i="48"/>
  <c r="L52" i="48" s="1"/>
  <c r="D52" i="48"/>
  <c r="B52" i="48"/>
  <c r="A52" i="48"/>
  <c r="L51" i="48"/>
  <c r="K51" i="48"/>
  <c r="D51" i="48"/>
  <c r="B51" i="48"/>
  <c r="A51" i="48"/>
  <c r="K50" i="48"/>
  <c r="L50" i="48" s="1"/>
  <c r="D50" i="48"/>
  <c r="B50" i="48"/>
  <c r="A50" i="48"/>
  <c r="K49" i="48"/>
  <c r="L49" i="48" s="1"/>
  <c r="D49" i="48"/>
  <c r="B49" i="48"/>
  <c r="A49" i="48"/>
  <c r="K48" i="48"/>
  <c r="L48" i="48" s="1"/>
  <c r="D48" i="48"/>
  <c r="B48" i="48"/>
  <c r="A48" i="48"/>
  <c r="K44" i="48"/>
  <c r="L44" i="48" s="1"/>
  <c r="D44" i="48"/>
  <c r="B44" i="48"/>
  <c r="A44" i="48"/>
  <c r="K43" i="48"/>
  <c r="L43" i="48" s="1"/>
  <c r="D43" i="48"/>
  <c r="B43" i="48"/>
  <c r="A43" i="48"/>
  <c r="K42" i="48"/>
  <c r="L42" i="48" s="1"/>
  <c r="D42" i="48"/>
  <c r="B42" i="48"/>
  <c r="A42" i="48"/>
  <c r="K41" i="48"/>
  <c r="L41" i="48" s="1"/>
  <c r="D41" i="48"/>
  <c r="B41" i="48"/>
  <c r="A41" i="48"/>
  <c r="K40" i="48"/>
  <c r="L40" i="48" s="1"/>
  <c r="D40" i="48"/>
  <c r="B40" i="48"/>
  <c r="A40" i="48"/>
  <c r="K36" i="48"/>
  <c r="L36" i="48" s="1"/>
  <c r="D36" i="48"/>
  <c r="B36" i="48"/>
  <c r="A36" i="48"/>
  <c r="K35" i="48"/>
  <c r="L35" i="48" s="1"/>
  <c r="D35" i="48"/>
  <c r="B35" i="48"/>
  <c r="A35" i="48"/>
  <c r="K34" i="48"/>
  <c r="L34" i="48" s="1"/>
  <c r="D34" i="48"/>
  <c r="B34" i="48"/>
  <c r="A34" i="48"/>
  <c r="K33" i="48"/>
  <c r="L33" i="48" s="1"/>
  <c r="D33" i="48"/>
  <c r="B33" i="48"/>
  <c r="A33" i="48"/>
  <c r="K32" i="48"/>
  <c r="L32" i="48" s="1"/>
  <c r="D32" i="48"/>
  <c r="B32" i="48"/>
  <c r="A32" i="48"/>
  <c r="L31" i="48"/>
  <c r="K31" i="48"/>
  <c r="D31" i="48"/>
  <c r="B31" i="48"/>
  <c r="A31" i="48"/>
  <c r="K30" i="48"/>
  <c r="L30" i="48" s="1"/>
  <c r="D30" i="48"/>
  <c r="B30" i="48"/>
  <c r="A30" i="48"/>
  <c r="K29" i="48"/>
  <c r="L29" i="48" s="1"/>
  <c r="D29" i="48"/>
  <c r="B29" i="48"/>
  <c r="A29" i="48"/>
  <c r="K28" i="48"/>
  <c r="L28" i="48" s="1"/>
  <c r="D28" i="48"/>
  <c r="B28" i="48"/>
  <c r="A28" i="48"/>
  <c r="K27" i="48"/>
  <c r="L27" i="48" s="1"/>
  <c r="D27" i="48"/>
  <c r="B27" i="48"/>
  <c r="A27" i="48"/>
  <c r="E25" i="48"/>
  <c r="B25" i="48"/>
  <c r="E24" i="48"/>
  <c r="B24" i="48"/>
  <c r="E23" i="48"/>
  <c r="B23" i="48"/>
  <c r="E22" i="48"/>
  <c r="B22" i="48"/>
  <c r="E21" i="48"/>
  <c r="B21" i="48"/>
  <c r="E3" i="48"/>
  <c r="H62" i="48" l="1"/>
  <c r="L62" i="48" s="1"/>
  <c r="L59" i="48" s="1"/>
  <c r="H89" i="48"/>
  <c r="L89" i="48" s="1"/>
  <c r="L67" i="48"/>
  <c r="H77" i="48"/>
  <c r="L77" i="48" s="1"/>
  <c r="H61" i="48"/>
  <c r="L61" i="48" s="1"/>
  <c r="H88" i="48"/>
  <c r="L88" i="48" s="1"/>
  <c r="H78" i="48"/>
  <c r="L78" i="48" s="1"/>
  <c r="H85" i="48"/>
  <c r="L85" i="48" s="1"/>
  <c r="H93" i="48"/>
  <c r="L93" i="48" s="1"/>
  <c r="H87" i="48"/>
  <c r="L87" i="48" s="1"/>
  <c r="H92" i="48"/>
  <c r="L92" i="48" s="1"/>
  <c r="H75" i="48"/>
  <c r="L75" i="48" s="1"/>
  <c r="G33" i="3"/>
  <c r="F19" i="44" s="1"/>
  <c r="I19" i="44" s="1"/>
  <c r="G27" i="3"/>
  <c r="F17" i="44" s="1"/>
  <c r="H91" i="48"/>
  <c r="L91" i="48" s="1"/>
  <c r="L47" i="48"/>
  <c r="L25" i="48"/>
  <c r="L39" i="48"/>
  <c r="L74" i="48" l="1"/>
  <c r="L98" i="48" s="1"/>
  <c r="L55" i="48"/>
  <c r="L100" i="48" l="1"/>
  <c r="L101" i="48" s="1"/>
  <c r="L102" i="48" s="1"/>
  <c r="A46" i="3"/>
  <c r="A41" i="3"/>
  <c r="A36" i="3"/>
  <c r="B46" i="3"/>
  <c r="G49" i="3"/>
  <c r="G48" i="3"/>
  <c r="G50" i="3" s="1"/>
  <c r="F24" i="44" s="1"/>
  <c r="B51" i="3"/>
  <c r="H24" i="44"/>
  <c r="F111" i="3"/>
  <c r="G111" i="3" s="1"/>
  <c r="E110" i="3"/>
  <c r="G110" i="3" s="1"/>
  <c r="F109" i="3"/>
  <c r="G109" i="3" s="1"/>
  <c r="G112" i="3"/>
  <c r="G113" i="3"/>
  <c r="G106" i="3"/>
  <c r="G107" i="3"/>
  <c r="G108" i="3"/>
  <c r="G114" i="3"/>
  <c r="G97" i="3"/>
  <c r="G98" i="3"/>
  <c r="G99" i="3"/>
  <c r="G100" i="3"/>
  <c r="A102" i="3"/>
  <c r="A94" i="3"/>
  <c r="A89" i="3"/>
  <c r="B102" i="3"/>
  <c r="B94" i="3"/>
  <c r="B89" i="3"/>
  <c r="B73" i="3"/>
  <c r="A73" i="3"/>
  <c r="G76" i="3"/>
  <c r="G75" i="3"/>
  <c r="G77" i="3" s="1"/>
  <c r="F31" i="44" s="1"/>
  <c r="B78" i="3"/>
  <c r="B68" i="3"/>
  <c r="B62" i="3"/>
  <c r="B57" i="3"/>
  <c r="A62" i="3"/>
  <c r="A57" i="3"/>
  <c r="G65" i="3"/>
  <c r="G64" i="3"/>
  <c r="G66" i="3" s="1"/>
  <c r="F28" i="44" s="1"/>
  <c r="G60" i="3"/>
  <c r="G59" i="3"/>
  <c r="B67" i="3"/>
  <c r="A67" i="3"/>
  <c r="H28" i="44"/>
  <c r="H27" i="44"/>
  <c r="I27" i="44" s="1"/>
  <c r="H31" i="44"/>
  <c r="G17" i="44" l="1"/>
  <c r="H17" i="44" s="1"/>
  <c r="I17" i="44" s="1"/>
  <c r="I24" i="44"/>
  <c r="I31" i="44"/>
  <c r="I28" i="44"/>
  <c r="G115" i="3"/>
  <c r="F37" i="44" s="1"/>
  <c r="I37" i="44" s="1"/>
  <c r="G61" i="3"/>
  <c r="A83" i="3" l="1"/>
  <c r="A78" i="3"/>
  <c r="A68" i="3"/>
  <c r="A52" i="3"/>
  <c r="B83" i="3"/>
  <c r="B52" i="3"/>
  <c r="B36" i="3"/>
  <c r="B41" i="3"/>
  <c r="G96" i="3"/>
  <c r="G101" i="3" s="1"/>
  <c r="F36" i="44" s="1"/>
  <c r="G92" i="3"/>
  <c r="G91" i="3"/>
  <c r="B88" i="3"/>
  <c r="A88" i="3"/>
  <c r="G86" i="3"/>
  <c r="G85" i="3"/>
  <c r="G87" i="3" s="1"/>
  <c r="F33" i="44" s="1"/>
  <c r="A51" i="3"/>
  <c r="B34" i="3"/>
  <c r="B35" i="3"/>
  <c r="A35" i="3"/>
  <c r="G93" i="3" l="1"/>
  <c r="F35" i="44" s="1"/>
  <c r="H37" i="44" l="1"/>
  <c r="H36" i="44"/>
  <c r="I36" i="44" s="1"/>
  <c r="H30" i="44" l="1"/>
  <c r="H32" i="44"/>
  <c r="H33" i="44"/>
  <c r="I33" i="44" s="1"/>
  <c r="H23" i="44"/>
  <c r="G20" i="3" l="1"/>
  <c r="G21" i="3" s="1"/>
  <c r="L9" i="47"/>
  <c r="L46" i="47"/>
  <c r="L43" i="47"/>
  <c r="L37" i="47"/>
  <c r="L36" i="47"/>
  <c r="L35" i="47"/>
  <c r="L34" i="47"/>
  <c r="L33" i="47"/>
  <c r="G25" i="47"/>
  <c r="L21" i="47"/>
  <c r="L20" i="47"/>
  <c r="L19" i="47"/>
  <c r="L18" i="47"/>
  <c r="L17" i="47"/>
  <c r="L12" i="47"/>
  <c r="L11" i="47"/>
  <c r="L10" i="47"/>
  <c r="H35" i="44"/>
  <c r="H26" i="44"/>
  <c r="H22" i="44"/>
  <c r="H13" i="44"/>
  <c r="G70" i="3"/>
  <c r="G71" i="3"/>
  <c r="G55" i="3"/>
  <c r="G54" i="3"/>
  <c r="G44" i="3"/>
  <c r="G43" i="3"/>
  <c r="L47" i="47" l="1"/>
  <c r="L13" i="47"/>
  <c r="L38" i="47"/>
  <c r="L22" i="47"/>
  <c r="G45" i="3"/>
  <c r="F23" i="44" s="1"/>
  <c r="I23" i="44" s="1"/>
  <c r="G56" i="3"/>
  <c r="G72" i="3"/>
  <c r="F30" i="44" s="1"/>
  <c r="I30" i="44" s="1"/>
  <c r="L24" i="47" l="1"/>
  <c r="L25" i="47" s="1"/>
  <c r="L27" i="47" s="1"/>
  <c r="L26" i="47" l="1"/>
  <c r="L29" i="47" s="1"/>
  <c r="L49" i="47" s="1"/>
  <c r="L50" i="47" l="1"/>
  <c r="L51" i="47" s="1"/>
  <c r="L52" i="47" s="1"/>
  <c r="G15" i="44"/>
  <c r="H15" i="44" s="1"/>
  <c r="I15" i="44" s="1"/>
  <c r="G81" i="3" l="1"/>
  <c r="G80" i="3"/>
  <c r="G82" i="3" l="1"/>
  <c r="F32" i="44" s="1"/>
  <c r="I32" i="44" s="1"/>
  <c r="H13" i="20"/>
  <c r="H15" i="20"/>
  <c r="G14" i="3" l="1"/>
  <c r="G13" i="3"/>
  <c r="B7" i="42"/>
  <c r="B12" i="4"/>
  <c r="B10" i="4"/>
  <c r="F13" i="4"/>
  <c r="B7" i="4"/>
  <c r="B6" i="4"/>
  <c r="A1" i="4"/>
  <c r="B7" i="20"/>
  <c r="B6" i="20"/>
  <c r="A1" i="20"/>
  <c r="G15" i="3" l="1"/>
  <c r="F13" i="44" s="1"/>
  <c r="B7" i="19"/>
  <c r="B6" i="19"/>
  <c r="A1" i="19"/>
  <c r="I13" i="44" l="1"/>
  <c r="I11" i="44" s="1"/>
  <c r="F10" i="4" l="1"/>
  <c r="B7" i="3" l="1"/>
  <c r="B6" i="3"/>
  <c r="A1" i="3"/>
  <c r="I26" i="44" l="1"/>
  <c r="G39" i="3"/>
  <c r="G38" i="3"/>
  <c r="G40" i="3" l="1"/>
  <c r="F22" i="44" s="1"/>
  <c r="I35" i="44"/>
  <c r="D15" i="19" l="1"/>
  <c r="F11" i="4" l="1"/>
  <c r="I22" i="44" l="1"/>
  <c r="I20" i="44" s="1"/>
  <c r="I38" i="44" s="1"/>
  <c r="A7" i="20" l="1"/>
  <c r="A6" i="20"/>
  <c r="D20" i="19"/>
  <c r="A7" i="19"/>
  <c r="A6" i="19"/>
  <c r="F12" i="4" l="1"/>
  <c r="D12" i="4" s="1"/>
  <c r="C16" i="42"/>
  <c r="C20" i="42" s="1"/>
  <c r="C25" i="42" s="1"/>
  <c r="F190" i="17"/>
  <c r="E190" i="17"/>
  <c r="F189" i="17"/>
  <c r="F188" i="17"/>
  <c r="E188" i="17"/>
  <c r="M187" i="17"/>
  <c r="F187" i="17" s="1"/>
  <c r="E187" i="17"/>
  <c r="F186" i="17"/>
  <c r="F185" i="17"/>
  <c r="F184" i="17"/>
  <c r="F183" i="17"/>
  <c r="F182" i="17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M167" i="17"/>
  <c r="F167" i="17" s="1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M145" i="17"/>
  <c r="F145" i="17" s="1"/>
  <c r="E145" i="17"/>
  <c r="F144" i="17"/>
  <c r="E144" i="17"/>
  <c r="F143" i="17"/>
  <c r="E143" i="17"/>
  <c r="F142" i="17"/>
  <c r="E142" i="17"/>
  <c r="F141" i="17"/>
  <c r="E141" i="17"/>
  <c r="M140" i="17"/>
  <c r="F140" i="17" s="1"/>
  <c r="E140" i="17"/>
  <c r="F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M127" i="17"/>
  <c r="F127" i="17" s="1"/>
  <c r="E127" i="17"/>
  <c r="M126" i="17"/>
  <c r="F126" i="17" s="1"/>
  <c r="E126" i="17"/>
  <c r="M125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M85" i="17"/>
  <c r="F85" i="17" s="1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M71" i="17"/>
  <c r="F71" i="17" s="1"/>
  <c r="F70" i="17"/>
  <c r="F69" i="17"/>
  <c r="F68" i="17"/>
  <c r="F67" i="17"/>
  <c r="F66" i="17"/>
  <c r="F65" i="17"/>
  <c r="M64" i="17"/>
  <c r="F64" i="17" s="1"/>
  <c r="M63" i="17"/>
  <c r="F63" i="17" s="1"/>
  <c r="M62" i="17"/>
  <c r="F62" i="17" s="1"/>
  <c r="F61" i="17"/>
  <c r="F60" i="17"/>
  <c r="F59" i="17"/>
  <c r="F58" i="17"/>
  <c r="F57" i="17"/>
  <c r="F56" i="17"/>
  <c r="F55" i="17"/>
  <c r="F54" i="17"/>
  <c r="F53" i="17"/>
  <c r="F52" i="17"/>
  <c r="F51" i="17"/>
  <c r="M50" i="17"/>
  <c r="F50" i="17" s="1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6" i="17"/>
  <c r="G5" i="17"/>
  <c r="C5" i="17"/>
  <c r="C4" i="17"/>
  <c r="A1" i="17"/>
  <c r="E12" i="4" l="1"/>
  <c r="G172" i="17"/>
  <c r="G180" i="17"/>
  <c r="G102" i="17"/>
  <c r="G106" i="17"/>
  <c r="G110" i="17"/>
  <c r="G129" i="17"/>
  <c r="G133" i="17"/>
  <c r="G137" i="17"/>
  <c r="G147" i="17"/>
  <c r="G151" i="17"/>
  <c r="G155" i="17"/>
  <c r="G159" i="17"/>
  <c r="G163" i="17"/>
  <c r="G175" i="17"/>
  <c r="G179" i="17"/>
  <c r="G103" i="17"/>
  <c r="G107" i="17"/>
  <c r="G130" i="17"/>
  <c r="G134" i="17"/>
  <c r="G146" i="17"/>
  <c r="G150" i="17"/>
  <c r="G154" i="17"/>
  <c r="G158" i="17"/>
  <c r="G162" i="17"/>
  <c r="G168" i="17"/>
  <c r="G176" i="17"/>
  <c r="G143" i="17"/>
  <c r="G144" i="17"/>
  <c r="G113" i="17"/>
  <c r="G164" i="17"/>
  <c r="G166" i="17"/>
  <c r="G170" i="17"/>
  <c r="G112" i="17"/>
  <c r="G165" i="17"/>
  <c r="G169" i="17"/>
  <c r="G171" i="17"/>
  <c r="G140" i="17"/>
  <c r="G114" i="17"/>
  <c r="G118" i="17"/>
  <c r="G122" i="17"/>
  <c r="G138" i="17"/>
  <c r="G142" i="17"/>
  <c r="G149" i="17"/>
  <c r="G188" i="17"/>
  <c r="G111" i="17"/>
  <c r="G115" i="17"/>
  <c r="G119" i="17"/>
  <c r="G123" i="17"/>
  <c r="G141" i="17"/>
  <c r="G145" i="17"/>
  <c r="G148" i="17"/>
  <c r="G105" i="17"/>
  <c r="G120" i="17"/>
  <c r="G124" i="17"/>
  <c r="G127" i="17"/>
  <c r="G152" i="17"/>
  <c r="G156" i="17"/>
  <c r="G178" i="17"/>
  <c r="G104" i="17"/>
  <c r="G108" i="17"/>
  <c r="G117" i="17"/>
  <c r="G121" i="17"/>
  <c r="G157" i="17"/>
  <c r="G161" i="17"/>
  <c r="G173" i="17"/>
  <c r="G177" i="17"/>
  <c r="G109" i="17"/>
  <c r="G116" i="17"/>
  <c r="G125" i="17"/>
  <c r="G153" i="17"/>
  <c r="G160" i="17"/>
  <c r="G174" i="17"/>
  <c r="G181" i="17"/>
  <c r="G190" i="17"/>
  <c r="G126" i="17"/>
  <c r="G132" i="17"/>
  <c r="G135" i="17"/>
  <c r="G128" i="17"/>
  <c r="G131" i="17"/>
  <c r="G136" i="17"/>
  <c r="G167" i="17"/>
  <c r="G187" i="17"/>
  <c r="G139" i="17" l="1"/>
  <c r="G101" i="17"/>
  <c r="E189" i="17"/>
  <c r="G189" i="17" s="1"/>
  <c r="E50" i="17" l="1"/>
  <c r="G50" i="17" s="1"/>
  <c r="E186" i="17" l="1"/>
  <c r="G186" i="17" s="1"/>
  <c r="E185" i="17" l="1"/>
  <c r="G185" i="17" s="1"/>
  <c r="E57" i="17" l="1"/>
  <c r="G57" i="17" s="1"/>
  <c r="E58" i="17" l="1"/>
  <c r="G58" i="17" s="1"/>
  <c r="E53" i="17" l="1"/>
  <c r="G53" i="17" s="1"/>
  <c r="E97" i="17" l="1"/>
  <c r="G97" i="17" s="1"/>
  <c r="E42" i="17"/>
  <c r="G42" i="17" s="1"/>
  <c r="E40" i="17"/>
  <c r="G40" i="17" s="1"/>
  <c r="E70" i="17"/>
  <c r="G70" i="17" s="1"/>
  <c r="E74" i="17"/>
  <c r="G74" i="17" s="1"/>
  <c r="E83" i="17"/>
  <c r="G83" i="17" s="1"/>
  <c r="E93" i="17"/>
  <c r="G93" i="17" s="1"/>
  <c r="E47" i="17"/>
  <c r="G47" i="17" s="1"/>
  <c r="E76" i="17"/>
  <c r="G76" i="17" s="1"/>
  <c r="E86" i="17"/>
  <c r="G86" i="17" s="1"/>
  <c r="E91" i="17"/>
  <c r="G91" i="17" s="1"/>
  <c r="E17" i="17"/>
  <c r="G17" i="17" s="1"/>
  <c r="E18" i="17"/>
  <c r="G18" i="17" s="1"/>
  <c r="E21" i="17"/>
  <c r="G21" i="17" s="1"/>
  <c r="E29" i="17"/>
  <c r="G29" i="17" s="1"/>
  <c r="E43" i="17"/>
  <c r="G43" i="17" s="1"/>
  <c r="E60" i="17"/>
  <c r="G60" i="17" s="1"/>
  <c r="E82" i="17"/>
  <c r="G82" i="17" s="1"/>
  <c r="E67" i="17"/>
  <c r="G67" i="17" s="1"/>
  <c r="E94" i="17"/>
  <c r="G94" i="17" s="1"/>
  <c r="E98" i="17"/>
  <c r="G98" i="17" s="1"/>
  <c r="E39" i="17"/>
  <c r="G39" i="17" s="1"/>
  <c r="E92" i="17"/>
  <c r="G92" i="17" s="1"/>
  <c r="E30" i="17"/>
  <c r="G30" i="17" s="1"/>
  <c r="E55" i="17"/>
  <c r="G55" i="17" s="1"/>
  <c r="E23" i="17"/>
  <c r="G23" i="17" s="1"/>
  <c r="E41" i="17"/>
  <c r="G41" i="17" s="1"/>
  <c r="E64" i="17"/>
  <c r="G64" i="17" s="1"/>
  <c r="E69" i="17"/>
  <c r="G69" i="17" s="1"/>
  <c r="E95" i="17"/>
  <c r="G95" i="17" s="1"/>
  <c r="E12" i="17"/>
  <c r="G12" i="17" s="1"/>
  <c r="E25" i="17"/>
  <c r="G25" i="17" s="1"/>
  <c r="E71" i="17"/>
  <c r="G71" i="17" s="1"/>
  <c r="E15" i="17"/>
  <c r="G15" i="17" s="1"/>
  <c r="E20" i="17"/>
  <c r="G20" i="17" s="1"/>
  <c r="E49" i="17"/>
  <c r="G49" i="17" s="1"/>
  <c r="E62" i="17"/>
  <c r="G62" i="17" s="1"/>
  <c r="E66" i="17"/>
  <c r="G66" i="17" s="1"/>
  <c r="E72" i="17"/>
  <c r="G72" i="17" s="1"/>
  <c r="E87" i="17"/>
  <c r="G87" i="17" s="1"/>
  <c r="E19" i="17"/>
  <c r="G19" i="17" s="1"/>
  <c r="E59" i="17"/>
  <c r="G59" i="17" s="1"/>
  <c r="E65" i="17"/>
  <c r="G65" i="17" s="1"/>
  <c r="E75" i="17"/>
  <c r="G75" i="17" s="1"/>
  <c r="E10" i="17"/>
  <c r="G10" i="17" s="1"/>
  <c r="E16" i="17"/>
  <c r="G16" i="17" s="1"/>
  <c r="E22" i="17"/>
  <c r="G22" i="17" s="1"/>
  <c r="E36" i="17"/>
  <c r="G36" i="17" s="1"/>
  <c r="E46" i="17"/>
  <c r="G46" i="17" s="1"/>
  <c r="E68" i="17"/>
  <c r="G68" i="17" s="1"/>
  <c r="E73" i="17"/>
  <c r="G73" i="17" s="1"/>
  <c r="E100" i="17"/>
  <c r="G100" i="17" s="1"/>
  <c r="E13" i="17" l="1"/>
  <c r="G13" i="17" s="1"/>
  <c r="E54" i="17"/>
  <c r="G54" i="17" s="1"/>
  <c r="E184" i="17"/>
  <c r="G184" i="17" s="1"/>
  <c r="E183" i="17"/>
  <c r="G183" i="17" s="1"/>
  <c r="E51" i="17"/>
  <c r="G51" i="17" s="1"/>
  <c r="E44" i="17"/>
  <c r="G44" i="17" s="1"/>
  <c r="E56" i="17"/>
  <c r="G56" i="17" s="1"/>
  <c r="E63" i="17"/>
  <c r="G63" i="17" s="1"/>
  <c r="G61" i="17" s="1"/>
  <c r="E85" i="17"/>
  <c r="G85" i="17" s="1"/>
  <c r="E89" i="17"/>
  <c r="G89" i="17" s="1"/>
  <c r="E52" i="17"/>
  <c r="G52" i="17" s="1"/>
  <c r="E48" i="17"/>
  <c r="G48" i="17" s="1"/>
  <c r="E99" i="17"/>
  <c r="G99" i="17" s="1"/>
  <c r="E88" i="17"/>
  <c r="G88" i="17" s="1"/>
  <c r="E28" i="17"/>
  <c r="G28" i="17" s="1"/>
  <c r="E11" i="17"/>
  <c r="G11" i="17" s="1"/>
  <c r="E27" i="17"/>
  <c r="G27" i="17" s="1"/>
  <c r="E24" i="17"/>
  <c r="G24" i="17" s="1"/>
  <c r="E26" i="17"/>
  <c r="G26" i="17" s="1"/>
  <c r="E14" i="17"/>
  <c r="G14" i="17" s="1"/>
  <c r="E78" i="17"/>
  <c r="G78" i="17" s="1"/>
  <c r="E32" i="17"/>
  <c r="G32" i="17" s="1"/>
  <c r="G38" i="17"/>
  <c r="E35" i="17"/>
  <c r="G35" i="17" s="1"/>
  <c r="E33" i="17"/>
  <c r="G33" i="17" s="1"/>
  <c r="E34" i="17"/>
  <c r="G34" i="17" s="1"/>
  <c r="E80" i="17"/>
  <c r="G80" i="17" s="1"/>
  <c r="G182" i="17" l="1"/>
  <c r="G84" i="17"/>
  <c r="G45" i="17"/>
  <c r="E81" i="17"/>
  <c r="G81" i="17" s="1"/>
  <c r="E37" i="17"/>
  <c r="G37" i="17" s="1"/>
  <c r="G31" i="17" s="1"/>
  <c r="E9" i="17"/>
  <c r="G9" i="17" s="1"/>
  <c r="G8" i="17" s="1"/>
  <c r="G191" i="17" s="1"/>
  <c r="E79" i="17" l="1"/>
  <c r="G79" i="17" s="1"/>
  <c r="G77" i="17" s="1"/>
  <c r="E10" i="4" l="1"/>
  <c r="E14" i="4" s="1"/>
  <c r="D10" i="4"/>
  <c r="E96" i="17"/>
  <c r="G96" i="17" s="1"/>
  <c r="G90" i="17" s="1"/>
  <c r="D14" i="4" l="1"/>
  <c r="F14" i="4" s="1"/>
  <c r="D15" i="4" l="1"/>
  <c r="E15" i="4"/>
  <c r="F15" i="4" l="1"/>
</calcChain>
</file>

<file path=xl/sharedStrings.xml><?xml version="1.0" encoding="utf-8"?>
<sst xmlns="http://schemas.openxmlformats.org/spreadsheetml/2006/main" count="1075" uniqueCount="621">
  <si>
    <t>PREFEITURA MUNICIPAL DE AGUAS BELAS</t>
  </si>
  <si>
    <t>RESUMO GERAL</t>
  </si>
  <si>
    <t>OBRA:</t>
  </si>
  <si>
    <t>RECUPERAÇÃO DE ESTRADAS VICINAIS COM EXECUÇÃO DE REVESTIMENTO PRIMARIO E CONSTRUÇÃO DE PONTILHÃO E BUEIROS NOS ACESSOS DOS PA'S CAIÇARA, LAGOA DO SERROTINHO E RIACHO DO CAROÁ</t>
  </si>
  <si>
    <t>LOCAL:</t>
  </si>
  <si>
    <t>ITEM</t>
  </si>
  <si>
    <t xml:space="preserve">DISCRIMINAÇÃO </t>
  </si>
  <si>
    <t xml:space="preserve">PREÇO TOTAL </t>
  </si>
  <si>
    <t>1.0</t>
  </si>
  <si>
    <t>ADMINISTRAÇÃO LOCAL DOS SERVIÇOS</t>
  </si>
  <si>
    <t>2.0</t>
  </si>
  <si>
    <t xml:space="preserve">OBRAS DE ARTE </t>
  </si>
  <si>
    <t>3.0</t>
  </si>
  <si>
    <t>EXECUÇÃO DE REVESTIMENTO PRIMARIO</t>
  </si>
  <si>
    <t>4.0</t>
  </si>
  <si>
    <t xml:space="preserve">PAVIMENTAÇÃO EM PARALELEPIPEDO </t>
  </si>
  <si>
    <t>TOTAL GERAL R$</t>
  </si>
  <si>
    <t>FALTA PAREDES DE GESSO</t>
  </si>
  <si>
    <t>PREFEITURA MUNICIPAL DE BOM CONSELHO</t>
  </si>
  <si>
    <t xml:space="preserve">ORÇAMENTO BASE POR TIPOLOGIA DESONERADO </t>
  </si>
  <si>
    <t>EXECUÇÃO DOS SERVIÇOS DE CONSTRUÇÃO DE BARRAGEM DE TERRA NO DISTRITO DE LOGRADOURO DOS LEOS</t>
  </si>
  <si>
    <t>DISTRITO DE LOGRADOURO DOS LEÕES, BOM CONSELHO - PE</t>
  </si>
  <si>
    <r>
      <t xml:space="preserve">BDI: </t>
    </r>
    <r>
      <rPr>
        <sz val="10"/>
        <rFont val="Calibri"/>
        <family val="2"/>
        <scheme val="minor"/>
      </rPr>
      <t>26,14%</t>
    </r>
  </si>
  <si>
    <t>REFERENCIA DE PREÇO</t>
  </si>
  <si>
    <t>DISCRIMINAÇÃO DOS SERVIÇOS</t>
  </si>
  <si>
    <t>UNID</t>
  </si>
  <si>
    <t>QUANT.</t>
  </si>
  <si>
    <t>PREÇO UNITARIO</t>
  </si>
  <si>
    <t>PREÇO TOTAL COM BDI</t>
  </si>
  <si>
    <t>DATA BASE</t>
  </si>
  <si>
    <t>CODIGO</t>
  </si>
  <si>
    <t>SEM BDI</t>
  </si>
  <si>
    <t>COM BDI</t>
  </si>
  <si>
    <t>INSTALAÇÕES PROVISORIAS</t>
  </si>
  <si>
    <t>1.1</t>
  </si>
  <si>
    <t>SERVIÇOS PRELIMINARES</t>
  </si>
  <si>
    <t>1.1.1</t>
  </si>
  <si>
    <t>SINAPI 01/2020</t>
  </si>
  <si>
    <t>74209/001</t>
  </si>
  <si>
    <t>PLACA DE OBRA EM CHAPA DE ACO GALVANIZADO</t>
  </si>
  <si>
    <t>m²</t>
  </si>
  <si>
    <t>1.2</t>
  </si>
  <si>
    <t xml:space="preserve">ADMINISTRAÇÃO LOCAL </t>
  </si>
  <si>
    <t>1.2.1</t>
  </si>
  <si>
    <t>COMPOSIÇÃO</t>
  </si>
  <si>
    <t>001</t>
  </si>
  <si>
    <t>Ud</t>
  </si>
  <si>
    <t>1.3</t>
  </si>
  <si>
    <t>MOBILIZAÇÃO E DESMOBILIZAÇÃO</t>
  </si>
  <si>
    <t>1.3.1</t>
  </si>
  <si>
    <t>002</t>
  </si>
  <si>
    <t>MOBILIZAÇÃO E DESMOBILIZAÇÃO DE PESSOAL, MÁQUINAS E EQUIPAMENTOS</t>
  </si>
  <si>
    <t>1.4</t>
  </si>
  <si>
    <t>DIVERSOS</t>
  </si>
  <si>
    <t>1.4.1</t>
  </si>
  <si>
    <t>ORSE/SE 12/2019</t>
  </si>
  <si>
    <t>AS BUILT - ELABORAÇÃO DE PROJETO EXECUTIVO - C/DIMENSIONAMENTO DA ESTRUTURA</t>
  </si>
  <si>
    <t xml:space="preserve">CONSTRUÇÃO DA BARRAGEM </t>
  </si>
  <si>
    <t>2.1</t>
  </si>
  <si>
    <t>PREPARO DA BACIA HIDRAULICA</t>
  </si>
  <si>
    <t>2.1.1</t>
  </si>
  <si>
    <t>DESMATAMENTO E LIMPEZA MECANIZADA DE TERRENO COM ARVORES ATE Ø 15CM, UTILIZANDO TRATOR DE ESTEIRAS</t>
  </si>
  <si>
    <t>2.1.2</t>
  </si>
  <si>
    <t>ESCAVACAO MECANICA, A CEU ABERTO, EM MATERIAL DE 1A CATEGORIA, COM ESCAVADEIRA HIDRAULICA, CAPACIDADE DE 0,78 M3</t>
  </si>
  <si>
    <t>m³</t>
  </si>
  <si>
    <t>2.1.3</t>
  </si>
  <si>
    <t>CARGA, MANOBRAS E DESCARGA DE AREIA, BRITA, PEDRA DE MAO E SOLOS COM CAMINHAO BASCULANTE 6 M3 (DESCARGA LIVRE)</t>
  </si>
  <si>
    <t>2.2</t>
  </si>
  <si>
    <t>CUT-OFF / FUNDAÇÃO</t>
  </si>
  <si>
    <t>2.2.1</t>
  </si>
  <si>
    <t>ESCAVAÇÃO MECANIZADA DE VALA COM PROF. MAIOR QUE 1,5 M ATÉ 3,0 M (MÉDIA ENTRE MONTANTE E JUSANTE/UMA COMPOSIÇÃO POR TRECHO), COM ESCAVADEIRA HIDRÁULICA (0,8 M3/111 HP), LARG. DE 1,5 M A 2,5 M, EM SOLO DE 1A CATEGORIA, EM LOCAIS COM ALTO NÍVEL DE INTERFERÊNCIA. AF_01/2015</t>
  </si>
  <si>
    <t>2.2.2</t>
  </si>
  <si>
    <t>ATERRO MECANIZADO DE VALA COM ESCAVADEIRA HIDRÁULICA (CAPACIDADE DA CAÇAMBA: 0,8 M³ / POTÊNCIA: 111 HP), LARGURA ATÉ 1,5 M, PROFUNDIDADE DE 1,5 A 3,0 M, COM SOLO ARGILO-ARENOSO. AF_05/2016</t>
  </si>
  <si>
    <t>2.2.3</t>
  </si>
  <si>
    <t>CARGA, MANOBRAS E DESCARGA DE AREIA, BRITA, PEDRA DE MAO E SOLOS COM CAMINHAO BASCULANTE 6 M3 (DESCARGA LIVRE) - BOTA FORA</t>
  </si>
  <si>
    <t>2.3</t>
  </si>
  <si>
    <t>MACIÇO</t>
  </si>
  <si>
    <t>2.3.1</t>
  </si>
  <si>
    <t>ESCAVAÇÃO VERTICAL A CÉU ABERTO, INCLUINDO CARGA, DESCARGA E TRANSPORTE, EM SOLO DE 1ª CATEGORIA COM ESCAVADEIRA HIDRÁULICA (CAÇAMBA: 0,8 M³ / 111 HP), FROTA DE 3 CAMINHÕES BASCULANTES DE 14 M³, DMT DE 1 KM E VELOCIDADE MÉDIA 15 KM/H. AF_12/2013</t>
  </si>
  <si>
    <t>2.3.2</t>
  </si>
  <si>
    <t>07086</t>
  </si>
  <si>
    <t>ATERRO MECANIZADO COM TRATOR DE ESTEIRA, INCLUSIVE COMPACTAÇÃO (MÃO DE OBRA, CAMINHÃO PIPA, E ROLO)</t>
  </si>
  <si>
    <t>2.3.3</t>
  </si>
  <si>
    <t>GUIA (MEIO-FIO) E SARJETA CONJUGADOS DE CONCRETO, MOLDADA IN LOCO EM TRECHO RETO COM EXTRUSORA, 45 CM BASE (15 CM BASE DA GUIA + 30 CM BASE DA SARJETA) X 22 CM ALTURA. AF_06/2016</t>
  </si>
  <si>
    <t>2.3.4</t>
  </si>
  <si>
    <t>73882/005</t>
  </si>
  <si>
    <t>CALHA EM CONCRETO SIMPLES, EM MEIA CANA DE CONCRETO, DIAMETRO 600 MM</t>
  </si>
  <si>
    <t>2.4</t>
  </si>
  <si>
    <t>VERTEDOURO</t>
  </si>
  <si>
    <t>2.4.1</t>
  </si>
  <si>
    <t>ESCAVAÇÃO MECANIZADA DE VALA COM PROF. ATÉ 1,5 M (MÉDIA ENTRE MONTANTE E JUSANTE/UMA COMPOSIÇÃO POR TRECHO), COM ESCAVADEIRA HIDRÁULICA (0,8M3), LARG. DE 1,5 M A 2,5 M, EM SOLO DE 1A CATEGORIA, EM LOCAIS COM ALTO NÍVEL DE INTERFERÊNCIA. AF_01/2015</t>
  </si>
  <si>
    <t>2.4.2</t>
  </si>
  <si>
    <t>CONCRETO MAGRO PARA LASTRO, TRAÇO 1:4,5:4,5 (CIMENTO/ AREIA MÉDIA/ BRITA 1) - PREPARO MECÂNICO COM BETONEIRA 400 L. AF_07/2016</t>
  </si>
  <si>
    <t>2.4.3</t>
  </si>
  <si>
    <t>ENROCAMENTO COM PEDRA ARGAMASSADA TRAÇO 1:4 COM PEDRA DE MÃO</t>
  </si>
  <si>
    <t xml:space="preserve">MEMÓRIA DE CÁLCULO </t>
  </si>
  <si>
    <t>SERVIÇOS PRELIMINARES:</t>
  </si>
  <si>
    <t>Local do Serviço</t>
  </si>
  <si>
    <t>Comp.</t>
  </si>
  <si>
    <t>Larg.</t>
  </si>
  <si>
    <t>altura / *</t>
  </si>
  <si>
    <t>Total</t>
  </si>
  <si>
    <t>=</t>
  </si>
  <si>
    <t>limpeza bacia hidraulica</t>
  </si>
  <si>
    <t>corte acumulado bacia hidraulica - lev. Top.</t>
  </si>
  <si>
    <t>material proveniente do corte da bacia hidraulic.</t>
  </si>
  <si>
    <t xml:space="preserve">escavação de vala para execução do cut-off </t>
  </si>
  <si>
    <t>fundação do maciço - cut-off</t>
  </si>
  <si>
    <t>remoção do material escavado 2.2.1</t>
  </si>
  <si>
    <t>escavação de aterro para execução do maciço</t>
  </si>
  <si>
    <t xml:space="preserve">execução da compactação do maciço </t>
  </si>
  <si>
    <t>m</t>
  </si>
  <si>
    <t>base muro 1.0</t>
  </si>
  <si>
    <t>base muro 1.1</t>
  </si>
  <si>
    <t>base muro 2.0</t>
  </si>
  <si>
    <t>vertedouro</t>
  </si>
  <si>
    <t>piso vertedouro</t>
  </si>
  <si>
    <t>muro 1.0</t>
  </si>
  <si>
    <t>muro 1.1</t>
  </si>
  <si>
    <t>muro 1.2</t>
  </si>
  <si>
    <t>muro 1.3</t>
  </si>
  <si>
    <t>muro 1.4</t>
  </si>
  <si>
    <t>muro 2.0</t>
  </si>
  <si>
    <t>2.5</t>
  </si>
  <si>
    <t>REGULARIZAÇÃO DO TALUDE MONTANTE E JUSANTE</t>
  </si>
  <si>
    <t>ORÇAMENTO BASE</t>
  </si>
  <si>
    <t>DATA:</t>
  </si>
  <si>
    <t>Item</t>
  </si>
  <si>
    <t>Código</t>
  </si>
  <si>
    <t>Discriminação dos serviços</t>
  </si>
  <si>
    <t>Unid.</t>
  </si>
  <si>
    <t>Quant.</t>
  </si>
  <si>
    <t>P. Unitário</t>
  </si>
  <si>
    <t xml:space="preserve"> P. Total </t>
  </si>
  <si>
    <t>Sinapi 10/13</t>
  </si>
  <si>
    <t>Com BDI 24%</t>
  </si>
  <si>
    <t>Serviços Preliminares</t>
  </si>
  <si>
    <t>73822/002 SINAPI RECIFE 10/2013</t>
  </si>
  <si>
    <t>LIMPEZA DO TERRENO - RASPAGEM MECANIZADA (MOTONIVELADORA) DE CAMADA VEGETAL</t>
  </si>
  <si>
    <t>73948/016 SINAPI RECIFE 10/2013</t>
  </si>
  <si>
    <t>LIMPEZA MANUAL DO TERRENO (C/ RASPAGEM SUPERFICIAL)</t>
  </si>
  <si>
    <t>74209/001 SINAPI RECIFE 10/2013</t>
  </si>
  <si>
    <t>PLACA DE OBRA EM CHAPA GALVANIZADA</t>
  </si>
  <si>
    <t>73992/001 SINAPI RECIFE 10/2013</t>
  </si>
  <si>
    <t>LOCAÇÃO CONVENCIONAL DE OBRAS, ATRAVÉS DE GABARITO DE TÁBUAS CORRIDAS PONTALETADAS A CADA 1,50 M.</t>
  </si>
  <si>
    <t>73803/001 SINAPI RECIFE 10/2013</t>
  </si>
  <si>
    <t>GALPÃO ABERTO PARA OFICINA E DEPÓSITO DE CANTEIRO DE OBRAS, EM MADEIRA DE LEI</t>
  </si>
  <si>
    <t>73805/001 SINAPI RECIFE 10/2013</t>
  </si>
  <si>
    <t>BARRACÃO DE OBRA PARA ALOJAMENTO/ESCRITÓRIO, PISO EM PINHO 3A, PAREDES EM COMPENSADO 10 MM, COBERTURA EM TELHA AMIANTO 6 MM, INCLUSIVE INSTALAÇÕES ELÉTRICAS E ESQUADRIAS</t>
  </si>
  <si>
    <t>74210/001 SINAPI RECIFE 10/2013</t>
  </si>
  <si>
    <t>BARRACÃO PARA DEPÓSITO EM TÁBUAS DE MADEIRA,  COBERTURA EM FIBROCIMENTO 4 MM, INCLUSIVE PISO ARGAMASSA 1:6 (CIMENTO E AREIA)</t>
  </si>
  <si>
    <t>74242/001 SINAPI RECIFE 10/2013</t>
  </si>
  <si>
    <t>BARRACÃO DE OBRA EM TÁBUAS DE MADEIRA COM BANHEIRO, COBERTURA EM EM FIBROCIMENTO 4 MM, INCLUSO INSTALAÇÕES HIDRO-SANITÁRIAS E ELÉTRICAS.</t>
  </si>
  <si>
    <t>74220/001 SINAPI RECIFE 10/2013</t>
  </si>
  <si>
    <t>TAPUME DE CHAPA DE MADEIRA COMPENSADA (6 MM) - PINTURA A CAL - APROVEITAMENTO 2 X</t>
  </si>
  <si>
    <t>72230 SINAPI RECIFE 10/2013</t>
  </si>
  <si>
    <t>RETIRADA DE TELHAS CERÂMICAS OU DE VIDRO</t>
  </si>
  <si>
    <t>72231 SINAPI RECIFE 10/2013</t>
  </si>
  <si>
    <t>RETIRADA DE TELHAS ONDULADAS</t>
  </si>
  <si>
    <t>72226 SINAPI RECIFE 10/2013</t>
  </si>
  <si>
    <t>RETIRADA DE ESTRUTURA DE MADEIRA PONTALETADA PARA TELHAS CERÂMICAS OU DE VIDRO</t>
  </si>
  <si>
    <t>72227 SINAPI RECIFE 10/2013</t>
  </si>
  <si>
    <t>RETIRADA DE ESTRUTURA DE MADEIRA PONTALETADA PARA TELHAS ONDULADAS</t>
  </si>
  <si>
    <t>72228 SINAPI RECIFE 10/2013</t>
  </si>
  <si>
    <t>RETIRADA DE ESTRUTURA DE MADEIRA COM TESOURAS PARA TELHAS CERÂMICAS OU DE VIDRO</t>
  </si>
  <si>
    <t>72229 SINAPI RECIFE 10/2013</t>
  </si>
  <si>
    <t>RETIRADA DE ESTRUTURA DE MADEIRA COM TESOURAS PARA TELHAS ONDULADAS</t>
  </si>
  <si>
    <t>72142 SINAPI RECIFE 10/2013</t>
  </si>
  <si>
    <t>RETIRADA DE FOLHAS DE PORTA DE PASSAGEM OU JANELA</t>
  </si>
  <si>
    <t>72143 SINAPI RECIFE 10/2013</t>
  </si>
  <si>
    <t>RETIRADA DE BATENTES DE MADEIRA</t>
  </si>
  <si>
    <t xml:space="preserve">73801/001 SINAPI RECIFE 10/2013 </t>
  </si>
  <si>
    <t>DEMOLICAO DE PISO DE ALTA RESISTENCIA</t>
  </si>
  <si>
    <t>73802/001 SINAPI RECIFE 10/2013</t>
  </si>
  <si>
    <t>DEMOLIÇÃO DE REVESTIMENTO COM ARGAMASSA DE CAL E AREIA</t>
  </si>
  <si>
    <t>73899/002 SINAPI RECIFE 10/2013</t>
  </si>
  <si>
    <t>DEMOLIÇÃO DE ALVENARIA DE TIJOLOS FURADOS S/REAPROVEITAMENTO</t>
  </si>
  <si>
    <t>72216 SINAPI RECIFE 10/2013</t>
  </si>
  <si>
    <t>DEMOLIÇÃO DE VERGAS, CINTAS E PILARETES DE CONCRETO.</t>
  </si>
  <si>
    <t xml:space="preserve">03.01.080 EMLURB RECIFE 10/2013  </t>
  </si>
  <si>
    <t>DEMOLICAO DE REVESTIMENTO DE PISO COM LADRILHO HIDRAULICO, LAJOTA OU CERAMICO.</t>
  </si>
  <si>
    <t>Infra-estrutura</t>
  </si>
  <si>
    <t>73965/010 SINAPI RECIFE 10/2013</t>
  </si>
  <si>
    <t>ESCAVAÇÃO MANUAL DE VALA EM MATERIAL DE 1ª CATEGORIA ATÉ 1,50 M, EXCLUINDO ESGOTAMENTO / ESCORAMENTO.</t>
  </si>
  <si>
    <t>83532 SINAPI RECIFE 10/2013</t>
  </si>
  <si>
    <t>LASTRO DE CONCRETO TRACO 1:4:8, PREPARO MECANICO</t>
  </si>
  <si>
    <t xml:space="preserve">06.03.103 EMLURB RECIFE 10/2013  </t>
  </si>
  <si>
    <t>CONCRETO ARMADO PRONTO, FCK 25 MPA CONDICAO A (NBR 12655), LANCADO EM FUNDACOES E ADENSADO, INCLUSIVE FORMA, ESCORAMENTO E FERRAGEM.</t>
  </si>
  <si>
    <t>73935/002 SINAPI RECIFE 10/2013</t>
  </si>
  <si>
    <t>ALVENARIA EM TIJOLO CERAMICO FURADO 10X20X20CM, 1 VEZ, ASSENTADO EM ARGAMASSA TRACO 1:5 (CIMENTO E AREIA), E=1CM</t>
  </si>
  <si>
    <t>73904/001 SINAPI RECIFE 10/2013</t>
  </si>
  <si>
    <t>ATERRO APILOADO (MANUAL) EM CAMADAS DE 20 CM COM MATERIAL DE EMPRÉSTIMO</t>
  </si>
  <si>
    <t>73964/004 SINAPI RECIFE 10/2013</t>
  </si>
  <si>
    <t>REATERRO DE VALAS / CAVAS, COMPACTADA A MAÇO, EM CAMADAS DE ATÉ 30 CM</t>
  </si>
  <si>
    <t>Superestrutura</t>
  </si>
  <si>
    <t>06.03.143 EMLURB RECIFE 10/2013</t>
  </si>
  <si>
    <t>CONCRETO ARMADO PRONTO, FCK 25 MPA, CONDICAO A (NBR 12655),LANCADO EM QUALQUER TIPO DE ESTRUTURA E ADENSADO, INCLUSIVE FORMA, ESCORAMENTO E FERRAGEM.</t>
  </si>
  <si>
    <t>73935/001 SINAPI RECIFE 10/2013</t>
  </si>
  <si>
    <t>ALVENARIA DE TIJOLOS  CERÂMICO FURADO 10X20X20 CM, 1/2 VEZ, ASSENTADO EM ARGAMASSA TRAÇO 1:4 (CIMENTO E AREIA).</t>
  </si>
  <si>
    <t>74141/001 SINAPI RECIFE 10/2013</t>
  </si>
  <si>
    <t>LAJE PRÉ-MOLD BETA 11 P/1KN/M² VÃOS 4,40 M/INCL. VIGOTAS, TIJOLOS, ARMADURA NEGATIVA, CAPEAMENTO 3 CM, CONCRETO 15 MPA, ESCORAMENTO, MATERIAL E MÃO-DE-OBRA</t>
  </si>
  <si>
    <t>74202/001 SINAPI RECIFE 10/2013</t>
  </si>
  <si>
    <t>LAJE PRÉ-MOLDADA P/ FORRO, SOBRECARGA 100 KG/M², VÃOS ATÉ 3,50 M/E= 8 CM,C/LAJOTAS E CAP. C/ CONC. FCK = 20 MPA, 3 CM, INTER-EIXO 38 CM, C/ESCORAMENTO (REAPR. 3X) E FERRAGEM NEGATIVA</t>
  </si>
  <si>
    <t>74202/002 SINAPI RECIFE 10/2013</t>
  </si>
  <si>
    <t>LAJE PRÉ-MOLDADA P/ PISO, SOBRECARGA 200 KG/M², VÃOS ATÉ 3,50 M/E= 8 CM,C/LAJOTAS E CAP. C/ CONC. FCK = 20 MPA, 4 CM, INTER-EIXO 38 CM, C/ESCORAMENTO (REAPR. 3X) E FERRAGEM NEGATIVA</t>
  </si>
  <si>
    <t>73937/003 SINAPI RECIFE 10/2013</t>
  </si>
  <si>
    <t>COBOGO DE CONCRETO (ELEMENTO VAZADO), 7X50X50 CM, ASSENTADO COM ARGAMASSA TRAÇO 1:3 (CIMENTO E AREIA)</t>
  </si>
  <si>
    <t>Coberta</t>
  </si>
  <si>
    <t>72077 SINAPI RECIFE 10/2013</t>
  </si>
  <si>
    <t>ESTRUTURA DE MADEIRA DE LEI 1ª SERRADA NÃO APARELHADA, PARA TELHAS CERÂMICAS, VÃOS ATÉ 7 M</t>
  </si>
  <si>
    <t>72081 SINAPI RECIFE 10/2013</t>
  </si>
  <si>
    <t>ESTRUTURA DE MADEIRA DE LEI 1ª SERRADA NÃO APARELHADA, PARA TELHAS ONDULADAS, VÃOS ATÉ 7 M</t>
  </si>
  <si>
    <t>72110 SINAPI RECIFE 10/2013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</si>
  <si>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</si>
  <si>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84033 SINAPI RECIFE 10/2013</t>
  </si>
  <si>
    <t>COBERTURA COM TELHA COLONIAL, EXCLUINDO MADEIRAMENTO</t>
  </si>
  <si>
    <t>84033  7176 SINAPI RECIFE 10/2013</t>
  </si>
  <si>
    <t>COBERTURA COM TELHA COLONIAL REAPROVEITADA, EXCLUINDO MADEIRAMENTO</t>
  </si>
  <si>
    <t>C2452 SEINFRA DESONERADA 11/2013</t>
  </si>
  <si>
    <t>TELHA TIPO ONDULINE EM ESTRUTURA METÁLICA</t>
  </si>
  <si>
    <t>C1004 SEINFRA DESONERADA 11/2013</t>
  </si>
  <si>
    <t>CUMEEIRA TIPO ONDULINE EM ESTRUTURA METÁLICA</t>
  </si>
  <si>
    <t>74045/001 SINAPI RECIFE 10/2013</t>
  </si>
  <si>
    <t>CUMEEIRA UNIVERSAL PARA TELHA DE FIBROCIMENTO ONDULADA ESPESSURA 6 MM, INCLUSO JUNTAS DE VEDACAO E ACESSORIOS DE FIXACAO</t>
  </si>
  <si>
    <t>6058 SINAPI RECIFE 10/2013</t>
  </si>
  <si>
    <t>CUMEEIRA COM TELHA CERAMICA EMBOCADA COM ARGAMASSA TRACO 1:2:8 (CIMENTO, CAL HIDRATADA E AREIA)</t>
  </si>
  <si>
    <t>73938/007 SINAPI RECIFE 10/2013</t>
  </si>
  <si>
    <t>EMBOÇAMENTO DA ÚLTIMA FIADA DE TELHA PLAN, COLONIAL OU PAULISTA, COM ARGAMASSA NO TRAÇO 1:2:8 (CIMENTO, CAL HIDRATADA E AREIA)</t>
  </si>
  <si>
    <t>72105 SINAPI RECIFE 10/2013</t>
  </si>
  <si>
    <t>CALHA DE CHAPA GALVANIZADA  N. 24, DESENVOLVIMENTO 50 CM</t>
  </si>
  <si>
    <t>84043 SINAPI RECIFE 10/2013</t>
  </si>
  <si>
    <t>CALHA DE CONCRETO, 30X15 CM, ESPESSURA 8 CM PREPARADA EM BETONEIRA COM CIMENTADO LISO EXECUTADO COM ARGAMASSA TRACO 1:4 (CIMENTO E AREIA MEDIA NAO PENEIRADA), PREPARO MANUAL</t>
  </si>
  <si>
    <t>72106 SINAPI RECIFE 10/2013</t>
  </si>
  <si>
    <t>RUFO EM CHAPA DE ACO GALVANIZADO NUMERO 24, DESENVOLVIMENTO DE 16CM</t>
  </si>
  <si>
    <t>73753/001 SINAPI RECIFE 10/2013</t>
  </si>
  <si>
    <t>IMPERMEABILIZACAO DE SUPERFICIE COM MANTA ASFALTICA PROTEGIDA COM FILME DE ALUMINIO GOFRADO (DE ESPESSURA 0,8MM), INCLUSA APLICACAO DE EMULSAO ASFALTICA, E=3MM.</t>
  </si>
  <si>
    <t>5.0</t>
  </si>
  <si>
    <t>Esquadria</t>
  </si>
  <si>
    <t>73910/005 SINAPI RECIFE 10/2013</t>
  </si>
  <si>
    <t>PORTA DE MADEIRA COMPENSADA LISA PARA PINTURA, INCLUSO ADUELA 2A, ALIZAR 2A, DOBRADICA E FECHADURA EXTERNA PADRAO POPULAR</t>
  </si>
  <si>
    <t>0,8X2,1=1,68</t>
  </si>
  <si>
    <t>73880/002 SINAPI RECIFE 10/2013</t>
  </si>
  <si>
    <t>PORTA DE MADEIRA ALMOFADADA SEMI-OCA 1A, INCLUSO ADUELA, ALIZAR, DOBRADICA E FECHADURA EXTERNA PADRAO POPULAR</t>
  </si>
  <si>
    <t>73813/001 SINAPI RECIFE 10/2013</t>
  </si>
  <si>
    <t>JANELA DE ABRIR DE MADEIRA 1A COM ALMOFADA, INCLUSO GUARNICOES E DOBRADICAS</t>
  </si>
  <si>
    <t>1,5X1,5=2,25</t>
  </si>
  <si>
    <t>74067/001 SINAPI RECIFE 10/2013</t>
  </si>
  <si>
    <t>JANELA ALUMINIO DE CORRER, 2 FOLHAS PARA VIDRO, SEM BANDEIRA, LINHA 25</t>
  </si>
  <si>
    <t>74067/003 SINAPI RECIFE 10/2013</t>
  </si>
  <si>
    <t>JANELA ALUMINIO DE CORRER, VENEZIANA, COM BANDEIRA, LINHA 25</t>
  </si>
  <si>
    <t>74068/002 SINAPI RECIFE 10/2013</t>
  </si>
  <si>
    <t>FECHADURA DE EMBUTIR COMPLETA, PARA PORTAS EXTERNAS, PADRAO DE ACABAMENTO POPULAR</t>
  </si>
  <si>
    <t>74070/003 SINAPI RECIFE 10/2013</t>
  </si>
  <si>
    <t>FECHADURA DE EMBUTIR COMPLETA, PARA PORTAS INTERNAS, PADRAO DE ACABAMENTO POPULAR</t>
  </si>
  <si>
    <t>6104 SINAPI RECIFE 10/2013</t>
  </si>
  <si>
    <t>JANELA BASCULANTE EM CHAPA DE ACO</t>
  </si>
  <si>
    <t>73933/004 SINAPI RECIFE 10/2013</t>
  </si>
  <si>
    <t>PORTA DE FERRO, DE ABRIR, BARRA CHATA COM REQUADRO E GUARNIÇÃO</t>
  </si>
  <si>
    <t>RECUPERAÇÃO DE ESQUADRIAS DE MADEIRA</t>
  </si>
  <si>
    <t>73932/001 SINAPI RECIFE 10/2013</t>
  </si>
  <si>
    <t>GRADE DE FERRO EM BARRA CHATA 3/16"</t>
  </si>
  <si>
    <t>74100/001 SINAPI RECIFE 10/2013</t>
  </si>
  <si>
    <t>PORTAO DE FERRO COM VARA 1/2", COM REQUADRO</t>
  </si>
  <si>
    <t>74136/003 SINAPI RECIFE 10/2013</t>
  </si>
  <si>
    <t>PORTA DE ACO DE ENROLAR ONDULADA CHAPA 24 RAIADA LARGA</t>
  </si>
  <si>
    <t>72122 SINAPI RECIFE 10/2013</t>
  </si>
  <si>
    <t>VIDRO FANTASIA TIPO CANELADO, ESPESSURA 4MM</t>
  </si>
  <si>
    <t>72117 SINAPI RECIFE 10/2013</t>
  </si>
  <si>
    <t>VIDRO LISO COMUM TRANSPARENTE, ESPESSURA 4MM</t>
  </si>
  <si>
    <t>6.0</t>
  </si>
  <si>
    <t>Revestimento</t>
  </si>
  <si>
    <t>73928/002 SINAPI RECIFE 10/2013</t>
  </si>
  <si>
    <t>CHAPISCO TRACO 1:3 (CIMENTO E AREIA), ESPESSURA 0,5CM, PREPARO MANUAL</t>
  </si>
  <si>
    <t>73927/009 SINAPI RECIFE 10/2013</t>
  </si>
  <si>
    <t>EMBOCO PAULISTA (MASSA UNICA) TRACO 1:2:8 (CIMENTO, CAL E AREIA MEDIA), ESPESSURA 2,0CM, PREPARO MANUAL DA ARGAMASSA</t>
  </si>
  <si>
    <t>5990 SINAPI RECIFE 10/2013</t>
  </si>
  <si>
    <t>EMBOCO TRACO 1:2:8 (CIMENTO, CAL E AREIA MEDIA), ESPESSURA 2,0CM, PREPARO MECANICO DA ARGAMASSA</t>
  </si>
  <si>
    <t>73912/001 SINAPI RECIFE 10/2013</t>
  </si>
  <si>
    <t>CERAMICA ESMALTADA EM PAREDES 1A, PEI-4, 20X20CM, PADRAO MEDIO, FIXADA</t>
  </si>
  <si>
    <t>colocar outros</t>
  </si>
  <si>
    <t>73925/002 SINAPI RECIFE 10/2013</t>
  </si>
  <si>
    <t>AZULEJO 1A 15X15CM FIXADO ARGAMASSA COLANTE, REJUNTAMENTO COM CIMENTO</t>
  </si>
  <si>
    <t>11.06.053 EMLURB RECIFE 10/2013</t>
  </si>
  <si>
    <t>REVESTIMENTO EM PAREDE COM CERAMICA ESMALTADA 10X10CM,TIPO A, BRANCA,  ELIANE,PORTO RICO,SAMARSA, ELIZABETH OU SIMILAR, ASSENTADO COM AR GAMASSA PRE FABRICADA E REJUNTE DA QUARTZOLIT OU SIMILAR (ESPESSURA DA JUNTA DE 6MM) SOBRE EMBOCO PRONTO.</t>
  </si>
  <si>
    <t>7.0</t>
  </si>
  <si>
    <t>Piso</t>
  </si>
  <si>
    <t>LASTRO DE CONCRETO TRACO 1:4:8, ESPESSURA 5CM, PREPARO MECANICO</t>
  </si>
  <si>
    <t>73920/003 SINAPI RECIFE 10/2013</t>
  </si>
  <si>
    <t>REGULARIZACAO DE PISO/BASE EM ARGAMASSA TRACO 1:4 (CIMENTO E AREIA), ESPESSURA 3,0CM, PREPARO MANUAL</t>
  </si>
  <si>
    <t>73946/001 SINAPI RECIFE 10/2013</t>
  </si>
  <si>
    <t>PISO EM CERAMICA ESMALTADA LINHA POPULAR PEI-4, ASSENTADA COM ARGAMASS</t>
  </si>
  <si>
    <t>Composição - 16</t>
  </si>
  <si>
    <t>TESTEIRA EM GRANILITE, MARMORITE OU GRANITINA ESPESSURA 8 MM, INCLUSO JUNTAS DE DILATACAO PLASTICAS, ALTURA DE 10 CM.</t>
  </si>
  <si>
    <t>84191 SINAPI RECIFE 10/2013</t>
  </si>
  <si>
    <t>PISO EM GRANILITE, MARMORITE OU GRANITINA ESPESSURA 8 MM, INCLUSO JUNTAS DE DILATACAO PLASTICAS</t>
  </si>
  <si>
    <t>8.0</t>
  </si>
  <si>
    <t>Pintura</t>
  </si>
  <si>
    <t>6082 SINAPI RECIFE 10/2013</t>
  </si>
  <si>
    <t>PINTURA EM VERNIZ SINTETICO BRILHANTE EM MADEIRA, TRES DEMAOS</t>
  </si>
  <si>
    <t>73999/001 SINAPI RECIFE 10/2013</t>
  </si>
  <si>
    <t>PINTURA COM CAL, EM PAREDES INTERNAS, TRES DEMAOS, INCLUSO OLEO DE LINHACA</t>
  </si>
  <si>
    <t>73955/002 SINAPI RECIFE 10/2013</t>
  </si>
  <si>
    <t>EMASSAMENTO COM MASSA LATEX PVA PARA AMBIENTES INTERNOS, DUAS DEMAOS</t>
  </si>
  <si>
    <t xml:space="preserve">73750/001 SINAPI RECIFE 10/2013 </t>
  </si>
  <si>
    <t>PINTURA LATEX PVA AMBIENTES INTERNOS, DUAS DEMAOS</t>
  </si>
  <si>
    <t>74134/002 SINAPI RECIFE 10/2013</t>
  </si>
  <si>
    <t>EMASSAMENTO COM MASSA ACRILICA PARA AMBIENTES INTERNOS/EXTERNOS, DUAS DEMAOS</t>
  </si>
  <si>
    <t>73954/002 SINAPI RECIFE 10/2013</t>
  </si>
  <si>
    <t>PINTURA LATEX ACRILICA AMBIENTES INTERNOS/EXTERNOS, DUAS DEMAOS</t>
  </si>
  <si>
    <t>74065/001 SINAPI RECIFE 10/2013</t>
  </si>
  <si>
    <t>PINTURA ESMALTE PARA MADEIRA, DUAS DEMAOS, INCLUSO APARELHAMENTO COM FUNDO NIVELADOR BRANCO FOSCO</t>
  </si>
  <si>
    <t>73739/001 SINAPI RECIFE 10/2013</t>
  </si>
  <si>
    <t>PINTURA ESMALTE EM MADEIRA, DUAS DEMAOS</t>
  </si>
  <si>
    <t>73924/002 SINAPI RECIFE 10/2013</t>
  </si>
  <si>
    <t>PINTURA ESMALTE , DUAS DEMAOS, PARA FERRO</t>
  </si>
  <si>
    <t>74145/001 SINAPI RECIFE 10/2013</t>
  </si>
  <si>
    <t>PINTURA ESMALTE FOSCO, DUAS DEMAOS, SOBRE SUPERFICIE METALICA, INCLUSO UMA DEMAO DE FUNDO ANTICORROSIVO</t>
  </si>
  <si>
    <t>9.0</t>
  </si>
  <si>
    <t>Instalações elétricas</t>
  </si>
  <si>
    <t>18.22.010 EMLURB RECIFE 10/2013</t>
  </si>
  <si>
    <t>PONTO DE LUZ EM TETO OU PAREDE, INCLUINDO CAI XA 4 X 4 POL. TIGREFLEX OU SIMILAR, TUBULACAO PVC RIGIDO E FIACAO, ATE O QUADRO DE DISTRIBUICAO.</t>
  </si>
  <si>
    <t>Pt</t>
  </si>
  <si>
    <t>18.22.050 EMLURB RECIFE 10/2013</t>
  </si>
  <si>
    <t>PONTO DE INTERRUPTOR THREE-WAY, PIAL OU SIMILAR, INCLUSIVE TUBULACAO PVC RIGIDO, FIACAO, CAIXA 4 X 2 POL. TIGREFLEX OU SIMILAR, PLACA E DEMAIS ACESSORIOS, ATE O PONTO DE LUZ.</t>
  </si>
  <si>
    <t>18.22.020 EMLURB RECIFE 10/2013</t>
  </si>
  <si>
    <t>PONTO DE INTERRUPTOR DE UMA SECCAO, PIAL OU SIMILAR,INCLUSIVE TUBULACAO PVC RIGIDO, FIACAO, CX. 4 X 2 POL. TIGREFLEX OU SIMILAR PLACA E DEMAIS ACESSORIOS, ATE O PONTO DE LUZ.</t>
  </si>
  <si>
    <t>18.22.030 EMLURB RECIFE 10/2013</t>
  </si>
  <si>
    <t>PONTO DE INTERRUPTOR DE 2 SECCOES, PIAL OU SI MILAR, INCLUSIVE TUBULACAO PVC RIGIDO, FIACAO CAIXA 4 X 2 POL. TIGREFLEX OU SIMILAR, PLACA E DEMAIS ACESSORIOS, ATE O PONTO DE LUZ.</t>
  </si>
  <si>
    <t>18.22.040 EMLURB RECIFE 10/2013</t>
  </si>
  <si>
    <t>PONTO DE INTERRUPTOR DE 3 SECCOES, PIAL OU SIMILAR, INCLUSIVE TUBULACAO PVC RIGIDO, FIACAO CAIXA 4 X 2 POL. TIGREFLEX OU SIMILAR, PLACA E DEMAIS ACESSORIOS, ATE O PONTO DE LUZ.</t>
  </si>
  <si>
    <t>18.22.055 EMLURB RECIFE 10/2013</t>
  </si>
  <si>
    <t>PONTO DE TOMADA UNIV.(2P+1 T) 10A PIAL OU SIMILAR INCLUSIVE TUBULACAO PVC RIGIDO, FIACAO, CAIXA 4 X 2 POL. TIGREFLEX OU SIMILAR, PLACA E DEMAIS ACESSORIOS, ATE O PONTO DE LUZ OU QUADRO DE DISTRIBUICAO.</t>
  </si>
  <si>
    <t>18.22.060 EMLURB RECIFE 10/2013</t>
  </si>
  <si>
    <t>PONTO DE TOMADA UNIV.(2P+1 T) 20A PIAL OU SIMILAR INCLUSIVE TUBULACAO PVC RIGIDO, FIACAO, CAIXA 4 X 2 POL. TIGREFLEX OU SIMILAR, PLACA E DEMAIS ACESSORIOS, ATE O PONTO DE LUZ OU QUADRO DE DISTRIBUICAO.</t>
  </si>
  <si>
    <t>18.22.070 EMLURB RECIFE 10/2013</t>
  </si>
  <si>
    <t>PONTO DE TOMADA UNIVERSAL (2P+1 T),PIAL OU SIMILAR P/ 2000 W INCLUSIVE TUBULACAO PVC RIGIDO, FIACAO, CAIXA 4 X 2 POL.TIGREFLEX OU SIMILAR, PLACA E DEMAIS ACESSORIOS ATE O QUADRO DE DISTRIBUICAO.</t>
  </si>
  <si>
    <t>18.22.080 EMLURB RECIFE 10/2013</t>
  </si>
  <si>
    <t>PONTO DE TOMADA P/AR CONDICIONADO C/CONJ. TIPO ARSTOP OU SIMILAR,EM CAIXA TIGREFLEX OU SI MILAR 4 X 4 POL.,C/PLACA, TOMADA TRIP. P/PINO CHATO E DISJ. TERMOMAG. DE 25A, INCLUSIVE TUBULACAO PVC RIGIDO, FIACAO, ATERRAMENTO E DEMAIS ACESS. ATE O QUADRO DE DISTRIBUICAO.</t>
  </si>
  <si>
    <t>18.22.090 EMLURB RECIFE 10/2013</t>
  </si>
  <si>
    <t>PONTO DE TOMADA PARA TELEFONE, PIAL OU SIMIMILAR, EM CAIXA TIGREFLEX OU SIMILAR DE 4 X 2 POL., INCLUSIVE PLACA, TUBULACAO EM PVC RIGIDO, FIACAO, CAIXAS DE PASSAGEM E DEMAIS ACESSORIOS, ATE A CAIXA DE DISTRIBUICAO DO PAVIMENTO.</t>
  </si>
  <si>
    <t>68069  SINAPI RECIFE 10/2013</t>
  </si>
  <si>
    <t>HASTE COPPERWELD 5/8 X 3,0M COM CONECTOR</t>
  </si>
  <si>
    <t>74131/001  SINAPI RECIFE 10/2013</t>
  </si>
  <si>
    <t>QUADRO DE DISTRIBUICAO DE ENERGIA EM CHAPA METALICA, PARA 3 DISJUNTORES TERMOMAGNETICOS MONOPOLARES, SEM DISPOSITIVO PARA CHAVE GERAL, COM PORTA, SEM BARRAMENTOS FASES E COM BARRAMENTO NEUTRO, FORNECIMENTO E INSTALACAO</t>
  </si>
  <si>
    <t>74131/004  SINAPI RECIFE 10/2013</t>
  </si>
  <si>
    <t>QUADRO DE DISTRIBUICAO DE ENERGIA DE EMBUTIR, EM CHAPA METALICA, PARA 18 DISJUNTORES TERMOMAGNETICOS MONOPOLARES, COM BARRAMENTO TRIFASICO E NEUTRO, FORNECIMENTO E INSTALACAO</t>
  </si>
  <si>
    <t>74131/005  SINAPI RECIFE 10/2013</t>
  </si>
  <si>
    <t>QUADRO DE DISTRIBUICAO DE ENERGIA DE EMBUTIR, EM CHAPA METALICA, PARA 24 DISJUNTORES TERMOMAGNETICOS MONOPOLARES, COM BARRAMENTO TRIFASICO E NEUTRO, FORNECIMENTO E INSTALACAO</t>
  </si>
  <si>
    <t>74130/001  SINAPI RECIFE 10/2013</t>
  </si>
  <si>
    <t>DISJUNTOR TERMOMAGNETICO MONOPOLAR PADRAO NEMA (AMERICANO) 10 A 30A 240V, FORNECIMENTO E INSTALACAO</t>
  </si>
  <si>
    <t>73953/001  SINAPI RECIFE 10/2013</t>
  </si>
  <si>
    <t>LUMINARIA TIPO CALHA, DE SOBREPOR, COM REATOR DE PARTIDA RAPIDA E LAMPADA FLUORESCENTE 1X20W, COMPLETA, FORNECIMENTO E INSTALACAO</t>
  </si>
  <si>
    <t>Cj</t>
  </si>
  <si>
    <t>73953/005  SINAPI RECIFE 10/2013</t>
  </si>
  <si>
    <t>LUMINARIA TIPO CALHA, DE SOBREPOR, COM REATOR DE PARTIDA RAPIDA E LAMPADA FLUORESCENTE 1X40W, COMPLETA, FORNECIMENTO E INSTALACAO</t>
  </si>
  <si>
    <t>73953/006  SINAPI RECIFE 10/2013</t>
  </si>
  <si>
    <t>LUMINARIA TIPO CALHA, DE SOBREPOR, COM REATOR DE PARTIDA RAPIDA E LAMPADA FLUORESCENTE 2X40W, COMPLETA, FORNECIMENTO E INSTALACAO</t>
  </si>
  <si>
    <t>74094/001  SINAPI RECIFE 10/2013</t>
  </si>
  <si>
    <t>LUMINARIA TIPO SPOT PARA 1 LAMPADA INCANDESCENTE/FLUORESCENTE COMPACTA</t>
  </si>
  <si>
    <t>9540  SINAPI RECIFE 10/2013</t>
  </si>
  <si>
    <t>ENTRADA DE ENERGIA ELETRICA AEREA MONOFASICA 50A</t>
  </si>
  <si>
    <t>Composição - 14</t>
  </si>
  <si>
    <t>ENTRADA DE ENERGIA ELETRICA AEREA TRIFASICA</t>
  </si>
  <si>
    <t>RECUPERAÇÃO DE PONTO DE LUZ, INCLUSIVE SUBSTITUIÇÃO DE PEÇAS NECESSÁRIAS.</t>
  </si>
  <si>
    <t>RECUPERAÇÃO DE PONTO DE INTERRUPTOR, INCLUSIVE SUBSTITUIÇÃO DE PEÇAS.</t>
  </si>
  <si>
    <t>RECUPERAÇÃO DE PONTO DE TOMADA, INCLUSIVE SUBSTITUIÇÃO DE PEÇAS.</t>
  </si>
  <si>
    <t>18.22.100 EMLURB RECIFE 10/2013</t>
  </si>
  <si>
    <t>PONTO DE CAMPAINHA, INCLUSIVE CAIXA, CIGARRA, BOTAO, ESPELHO, TUBULACAO PVC RIGIDO, FIACAO E DEMAIS ACESSORIOS, ATE QUADRO DE DISTRIBUICAO.</t>
  </si>
  <si>
    <t>73613  SINAPI RECIFE 10/2013</t>
  </si>
  <si>
    <t>ELETRODUTO DE PVC RIGIDO ROSCAVEL DN 20MM (3/4") INCL CONEXOES, FORNECIMENTO E INSTALACAO</t>
  </si>
  <si>
    <t>74252/001  SINAPI RECIFE 10/2013</t>
  </si>
  <si>
    <t>ELETRODUTO DE PVC RIGIDO ROSCAVEL DN 25MM (1") INCL CONEXOES, FORNECIMENTO E INSTALACAO</t>
  </si>
  <si>
    <t>73860/008  SINAPI RECIFE 10/2013</t>
  </si>
  <si>
    <t>CABO DE COBRE ISOLADO PVC 450/750V 2,5MM2 RESISTENTE A CHAMA - FORNECIMENTO E INSTALACAO</t>
  </si>
  <si>
    <t>73860/011  SINAPI RECIFE 10/2013</t>
  </si>
  <si>
    <t>CABO DE COBRE ISOLADO PVC 450/750V 10MM2 RESISTENTE A CHAMA - FORNECIMENTO E INSTALACAO</t>
  </si>
  <si>
    <t>74130/004  SINAPI RECIFE 10/2013</t>
  </si>
  <si>
    <t>DISJUNTOR TERMOMAGNETICO TRIPOLAR 10 A 50A 240 V, FORNECIMENTO E INSTALACAO</t>
  </si>
  <si>
    <t>83446  SINAPI RECIFE 10/2013</t>
  </si>
  <si>
    <t>CAIXA DE PASSAGEM 30X30X40 COM TAMPA E DRENO BRITA</t>
  </si>
  <si>
    <t>83386  SINAPI RECIFE 10/2013</t>
  </si>
  <si>
    <t>CAIXA DE PASSAGEM PVC 4X4" - FORNECIMENTO E INSTALACAO</t>
  </si>
  <si>
    <t>17.08.020 EMLURB RECIFE 10/2013</t>
  </si>
  <si>
    <t>FORNECIMENTO E ASSENTAMENTO DE CAIXA PRÉ-MOLDADA PARA AR CONDICIONADO, CAPACIDADE 10.000/12.000BTU TIPO PADRÃO (ABERTA)</t>
  </si>
  <si>
    <t>10.0</t>
  </si>
  <si>
    <t>Instalações Hidro-sanitárias</t>
  </si>
  <si>
    <t>19.01.030 EMLURB RECIFE 10/2013</t>
  </si>
  <si>
    <t>RECUPERAÇÃO DE PONTO DE ESGOTO PREDIAL - FORNECIMENTO E INSTALACAO</t>
  </si>
  <si>
    <t>19.01.010 EMLURB RECIFE 10/2013</t>
  </si>
  <si>
    <t>PONTO DE ESGOTO PARA BACIA SANITARIA, INCLUSIVE TUBULACOES E CONEXOES EM PVC RIGI DO SOLDAVEIS, ATE A COLUNA OU O SUB-COLE- TOR</t>
  </si>
  <si>
    <t>19.01.020 EMLURB RECIFE 10/2013</t>
  </si>
  <si>
    <t>PONTO DE ESGOTO PARA PIA OU LAVANDARIA, INCLUSIVE TUBULACOES E CONEXOES EM PVC RIGI- DO SOLDAVEIS , ATE A COLUNA OU O SUB-COLE- TOR.</t>
  </si>
  <si>
    <t>PONTO DE ESGOTO PARA LAVATORIO OU MICTORIO, INCLUSIVE TUBULACOES E CONEXOES EM PVC RIGIDO SOLDAVEIS, ATE A COLUNA OU O SUB-COLETOR</t>
  </si>
  <si>
    <t>19.01.040 EMLURB RECIFE 10/2013</t>
  </si>
  <si>
    <t>PONTO DE ESGOTO PARA RALO SIFONADO, INCLUSIVE RALO, TUBULACOES E CONEXOES EM PVC RIGIDO SOLDAVEIS , ATE A COLUNA OU O SUBCOLETOR.</t>
  </si>
  <si>
    <t>19.02.020 EMLURB RECIFE 10/2013</t>
  </si>
  <si>
    <t>RECUPERAÇÃO DE PONTO DE AGUA FRIA PVC - FORNECIMENTO E INSTALACAO</t>
  </si>
  <si>
    <t>PONTO DE AGUA, INCLUSIVE TUBULACOES E CONE XOES DE PVC RIGIDO SOLDAVEL E ABERTURA DE RASGOS EM ALVENARIA , ATE O REGISTRO GERAL DO AMBIENTE.</t>
  </si>
  <si>
    <t>85123 SINAPI RECIFE 10/2013</t>
  </si>
  <si>
    <t>TUBO PVC PONTA/BOLSA C/ VIROLA DN=100MM P/ ESGOTO JUNTA COM ANEL</t>
  </si>
  <si>
    <t>74104/001 SINAPI RECIFE 10/2013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</si>
  <si>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</si>
  <si>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74101/001 SINAPI RECIFE 10/2013</t>
  </si>
  <si>
    <t>VASO SANITARIO, ASSENTO PLASTICO, CAIXA DE DESCARGA PVC DE SOBREPOR, ENGATE PLASTICO, TUBO DE DESCIDA E BOLSA DE BORRACHA</t>
  </si>
  <si>
    <t>74193/001 SINAPI RECIFE 10/2013</t>
  </si>
  <si>
    <t>VASO SANITARIO COM CAIXA DE DESCARGA ACOPLADA - LOUCA BRANCA</t>
  </si>
  <si>
    <t>74057/001 SINAPI RECIFE 10/2013</t>
  </si>
  <si>
    <t>LAVATORIO LOUCA BRANCA SUSPENSO 29,5 X 39,0CM, PADRAO POPULAR, COM COMJUNTO PARA FIXACAO - FORNECIMENTO E INSTALACAO</t>
  </si>
  <si>
    <t>74234/001 SINAPI RECIFE 10/2013</t>
  </si>
  <si>
    <t>MICTORIO SIFONADO DE LOUCA BRANCA COM PERTENCES, COM REGISTRO DE PRESSAO 1/2" COM CANOPLA CROMADA ACABAMENTO SIMPLES E CONJUNTO PARA FIXACAO - FORNECIMENTO E INSTALACAO</t>
  </si>
  <si>
    <t>19.07.070 EMLURB RECIFE 10/2013</t>
  </si>
  <si>
    <t>FORNECIMENTO E ASSENTAMENTO DE SABONETEIRA DE LOUCA BRANCA,CELITE OU SIMILAR, NAS DIMENSOES 7.5 X 15 CM.</t>
  </si>
  <si>
    <t>19.07.080 EMLURB RECIFE 10/2013</t>
  </si>
  <si>
    <t>FORNECIMENTO E ASSENTAMENTO DE CABIDE DE LOUCA BRANCA, CELITE OU SIMILAR, COM UM GANCHO.</t>
  </si>
  <si>
    <t>19.07.090 EMLURB RECIFE 10/2013</t>
  </si>
  <si>
    <t>FORNECIMENTO E ASSENTAMENTO DE PAPELEIRA DE LOUCA BRANCA, CELITE OU SIMILAR,NAS DIMENSOES 15 X 15 CM.</t>
  </si>
  <si>
    <t>6052 SINAPI RECIFE 10/2013</t>
  </si>
  <si>
    <t>TANQUE DE MARMORE SINTETICO 22 LITROS COM VALVULA EM PLASTICO BRANCO 1.1/4"X1.1/2", SIFAO PLASTICO TIPO COPO 1.1/4" E TORNEIRA DE METAL AMARELO CURTA 1/2" OU 3/4" PARA TANQUE - FORNECIMENTO E INSTALACAO</t>
  </si>
  <si>
    <t>9535 SINAPI RECIFE 10/2013</t>
  </si>
  <si>
    <t>CHUVEIRO ELETRICO COMUM CORPO PLASTICO TIPO DUCHA, FORNECIMENTO E INSTALACAO</t>
  </si>
  <si>
    <t>68061 SINAPI RECIFE 10/2013</t>
  </si>
  <si>
    <t>CHUVEIRO PLASTICO BRANCO SIMPLES - FORNECIMENTO E INSTALACAO</t>
  </si>
  <si>
    <t>6024 SINAPI RECIFE 10/2013</t>
  </si>
  <si>
    <t>CAIXA DE DESCARGA PLASTICA EXTERNA COMPLETA,CAPACIDADE 9L COM TUBO DE DESCARGA, ENGATE FLEXIVEL, BOIA E SUPORTE PARA FIXAÇÃO, BOLSA DE LIGAÇÃO EM PVC FLEXÍVEL E CONJUNTO PARA FIXACAO DE CAIXA DE DESCARGA - FORNECIMENTO E INSTALACAO</t>
  </si>
  <si>
    <t>73949/003 SINAPI RECIFE 10/2013</t>
  </si>
  <si>
    <t>TORNEIRA CROMADA LONGA 1/2" OU 3/4" DE PAREDE PARA PIA DE COZINHA COMAREJADOR, PADRAO MEDIO - FORNECIMENTO E INSTALACAO</t>
  </si>
  <si>
    <t>73949/009 SINAPI RECIFE 10/2013</t>
  </si>
  <si>
    <t>TORNEIRA CROMADA 1/2" OU 3/4" PARA LAVATORIO, PADRÃO POPULAR, COM ENGATE FLEXIVEL PLASTICO 1/2"X30CM - FORNECIMENTO E INSTALACAO</t>
  </si>
  <si>
    <t>73664 SINAPI RECIFE 10/2013</t>
  </si>
  <si>
    <t>REGISTRO DE PRESSÃO COM CANOPLA Ø 15MM (1/2") - FORNECIMENTO E INSTALAÇÃO</t>
  </si>
  <si>
    <t>73949/001 SINAPI RECIFE 10/2013</t>
  </si>
  <si>
    <t>TORNEIRA CROMADA 1/2" OU 3/4" PARA JARDIM OU TANQUE, PADRAO ALTO - FORNECIMENTO E INSTALACAO</t>
  </si>
  <si>
    <t>TANQUE</t>
  </si>
  <si>
    <t>JARDIM</t>
  </si>
  <si>
    <t>72711 SINAPI RECIFE 10/2013</t>
  </si>
  <si>
    <t>REGISTRO GAVETA 1/2" BRUTO LATAO - FORNECIMENTO E INSTALACAO</t>
  </si>
  <si>
    <t>78598/001 SINAPI RECIFE 10/2013</t>
  </si>
  <si>
    <t>RESERVATORIO DE FIBROCIMENTO 500L COM ACESSORIOS</t>
  </si>
  <si>
    <t>73735/001 SINAPI RECIFE 10/2013</t>
  </si>
  <si>
    <t>RESERV. DE FIBROC. CAP=1000L C/ACESSORIOS</t>
  </si>
  <si>
    <t>74126/001 SINAPI RECIFE 10/2013</t>
  </si>
  <si>
    <t>GRANITO CINZA POLIDO PARA BANCADA E=2,5 CM, LARGURA 60CM - FORNECIMENTO E INSTALACAO</t>
  </si>
  <si>
    <t>1,5X0,6=0,9</t>
  </si>
  <si>
    <t>74129/001 SINAPI RECIFE 10/2013</t>
  </si>
  <si>
    <t>CUBA DE ACO INOXIDAVEL 46,5X30,0X11,5CM - FORNECIMENTO E INSTALACAO</t>
  </si>
  <si>
    <t>85097 SINAPI RECIFE 10/2013</t>
  </si>
  <si>
    <t>CUBA DE EMBUTIR, EM LOUCA, TIPO OVAL BRANCA, SEM COMPLEMENTOS, PADRAO MEDIO</t>
  </si>
  <si>
    <t>74058/002 SINAPI RECIFE 10/2013</t>
  </si>
  <si>
    <t>TORNEIRA DE BOIA VAZAO TOTAL 3/4 COM BALAO PLASTICO - FORNECIMENTO E INSTALACAO.</t>
  </si>
  <si>
    <t>19.07.520 EMLURB RECIFE 10/2013</t>
  </si>
  <si>
    <t>FORNECIMENTO DE BOMBA 1/3 HP, INCLUSIVE ACESSORIOS,
FIXACAO E INSTALACAO.</t>
  </si>
  <si>
    <t>74092/001 SINAPI RECIFE 10/2013</t>
  </si>
  <si>
    <t>AUTOMATICO DE BOIA SUPERIOR 10A/250V - FORNECIMENTO E INSTALACAO</t>
  </si>
  <si>
    <t>74051/001 SINAPI RECIFE 10/2013</t>
  </si>
  <si>
    <t>CAIXA DE GORDURA DUPLA EM CONCRETO PRE-MOLDADO DN 60MM COM TAMPA - FORNECIMENTO E INSTALACAO</t>
  </si>
  <si>
    <t>C1898 SEINFRA 09/2013</t>
  </si>
  <si>
    <t>PEÇAS DE APOIO DEFICIENTES C/TUBO INOX P/WC'S</t>
  </si>
  <si>
    <t>Composição - 05</t>
  </si>
  <si>
    <t>CONSTRUÇÃO DE RESERVATÓRIO D'ÁGUA ENTERRADO, CAPACIDADE DE 7000 L, DIMENSÕES INTERNAS 2,50X2,00X1,40 M, LAJE DE FUNDO EM CONCRETO ARMADO E= 15 CM, TAMPA EM LAJE PRÉ-MOLDADA, COM DOIS CINTAMENTOS EM CONCRETO ARMADO 20X20 CM, INCLUSIVE REVESTIMENTO COM ARGAMASSA DE CIMENTO E AREIA</t>
  </si>
  <si>
    <t>Composição - 10</t>
  </si>
  <si>
    <t>CONSTRUÇÃO DE CASA DE BOMBA, 70X70X70 CM, EM ALVENARIA REVESTIDA COM ARGAMASSA DE CIMENTO E AREIA, COBERTA COM LAJE DE CONCRETO ARMADO E PORTÃO DE FERRO</t>
  </si>
  <si>
    <t>74197/001 SINAPI RECIFE 10/2013</t>
  </si>
  <si>
    <t>FOSSA SEPTICA EM ALVENARIA DE TIJOLO CERAMICO MACICO DIMENSOES EXTERNAS 1,90X1,10X1,40M, 1.500 LITROS, REVESTIDA INTERNAMENTE COM BARRA LISA, COM TAMPA EM CONCRETO ARMADO COM ESPESSURA 8CM</t>
  </si>
  <si>
    <t>74198/002 SINAPI RECIFE 10/2013</t>
  </si>
  <si>
    <t>SUMIDOURO EM ALVENARIA DE TIJOLO CERAMICO MACIÇO DIAMETRO 1,40M E ALTURA 5,00M, COM TAMPA EM CONCRETO ARMADO DIAMETRO 1,60M E ESPESSURA 10CM</t>
  </si>
  <si>
    <t>74230/001 SINAPI RECIFE 10/2013</t>
  </si>
  <si>
    <t>ASSENTO PARA VASO SANITARIO DE PLASTICO PADRAO POPULAR - FORNECIMENTO E INSTALACAO</t>
  </si>
  <si>
    <t>11.0</t>
  </si>
  <si>
    <t>Diversos</t>
  </si>
  <si>
    <t>9537 SINAPI RECIFE 10/2013</t>
  </si>
  <si>
    <t>LIMPEZA FINAL DA OBRA</t>
  </si>
  <si>
    <t>73948/015 SINAPI RECIFE 10/2013</t>
  </si>
  <si>
    <t>LIMPEZA PISO MARMORITE/GRANILITE</t>
  </si>
  <si>
    <t>73631 SINAPI RECIFE 10/2013</t>
  </si>
  <si>
    <t>GUARDA-CORPO EM TUBO DE ACO GALVANIZADO 1 1/2"</t>
  </si>
  <si>
    <t>73764/004 SINAPI RECIFE 10/2013</t>
  </si>
  <si>
    <t>PAVIMENTACAO EM BLOCOS DE CONCRETO SEXTAVADO, ESPESSURA 6,0 CM, FCK 35 MPA, ASSENTADOS SOBRE COLCHAO DE AREIA.</t>
  </si>
  <si>
    <t>Composição - 13</t>
  </si>
  <si>
    <t>MURO COM EMBASAMENTO DE 50 CM E ALTURA DA ALVENARIA DE ELEVAÇÃO DE 1,8 M, COM  COLUNAS ESPAÇADAS DE 3 EM 3 METROS, INCLUSIVE CHAPISCO, MASSA ÚNICA E CAIAÇÃO E AINDA ESCAVAÇÃO REATERRO, REMOÇÃO  DO MATERIAL ESCAVADO E CONCRETO MAGRO.</t>
  </si>
  <si>
    <t>Composição - 1</t>
  </si>
  <si>
    <t>FORNECIMENTO E APLICAÇÃO DE SUPORTE PARA CARNES, EM FERRO GALVANIZADO DE 1 1/4</t>
  </si>
  <si>
    <t>TOTAL R$</t>
  </si>
  <si>
    <t xml:space="preserve">CRONOGRAMA FÍSICO-FINANCEIRO </t>
  </si>
  <si>
    <t xml:space="preserve">OBRA: </t>
  </si>
  <si>
    <t>SERVIÇOS</t>
  </si>
  <si>
    <t>30 DIAS</t>
  </si>
  <si>
    <t>60 DIAS</t>
  </si>
  <si>
    <t>TOTAL</t>
  </si>
  <si>
    <t>R$</t>
  </si>
  <si>
    <t>%</t>
  </si>
  <si>
    <t>COMPOSIÇÃO DE BDI (COM DESONERAÇÃO) QUARTIL MEDIO</t>
  </si>
  <si>
    <t>DISCRIMINAÇÃO</t>
  </si>
  <si>
    <t>ADMINISTRAÇÃO CENTRAL (AC)</t>
  </si>
  <si>
    <t>SEGURO E GARANTIA (SG)</t>
  </si>
  <si>
    <t xml:space="preserve">RISCO (R) </t>
  </si>
  <si>
    <t>DESPESAS FINANCEIRA (DF)</t>
  </si>
  <si>
    <t>LUCRO (L)</t>
  </si>
  <si>
    <t>TRIBUTOS (T)</t>
  </si>
  <si>
    <t>PIS</t>
  </si>
  <si>
    <t>COFINS</t>
  </si>
  <si>
    <t>ISS</t>
  </si>
  <si>
    <t>CPRB</t>
  </si>
  <si>
    <t xml:space="preserve">* CONFORME CODIGO TRIBUTARIO </t>
  </si>
  <si>
    <t>BDI = [[{(1+(AC/100 +R/100+SG/100+))*(1+DF/100)*(1+L/100)}/(1-T/100)]-1]*100</t>
  </si>
  <si>
    <t>Declaro que, conforme legislação tributaria Municipal, base de calculo do ISS corresponde a 50,00% do valor deste tipo de obra, incide ISS com aliquota de 5,00%</t>
  </si>
  <si>
    <t>BASE DE PREÇOS UNITÁRIOS</t>
  </si>
  <si>
    <t>FOI TOMADO COMO BASE DE PREÇOS UNITÁRIOS DE SERVIÇOS, A TABELA SINAPI (SISTEMA NACIONAL DE PESQUISA DE CUSTOS E ÍNDICES DA CONSTRUÇÃO CIVIL), CORRESPONDENTE AO MÊS DE JUNHO/2019 AS COMPOSIÇÕES SE ENCOTRAM DISPONÍVEIS NO SITE: www.caixa.gov.br.</t>
  </si>
  <si>
    <t xml:space="preserve">OS ITENS QUE NÃO FORAM ENCONTRADOS NESTA TABELA, FORAM FEITAS SUAS COMPOSIÇÕES, OU UTILIZADAS OUTRAS TABELAS COMO SICRO/DNIT, COMPESA E EMLURB. </t>
  </si>
  <si>
    <t>O BDI (BENEFÍCIO E DESPESAS INDIRETAS) UTILIZADO FOI DE 26,14%.</t>
  </si>
  <si>
    <t xml:space="preserve">REGULARIZAÇÃO MANUAL DOS TALUDES </t>
  </si>
  <si>
    <t>3.4.1</t>
  </si>
  <si>
    <t>COMPOSIÇÃO  DE  PREÇOS  UNITÁRIOS   -    CUSTOS  UNITÁRIOS</t>
  </si>
  <si>
    <t>CÓDIGO</t>
  </si>
  <si>
    <t>COMP - 01</t>
  </si>
  <si>
    <t xml:space="preserve"> Serviço:</t>
  </si>
  <si>
    <t>01</t>
  </si>
  <si>
    <t xml:space="preserve"> Unid.:</t>
  </si>
  <si>
    <t xml:space="preserve">UD </t>
  </si>
  <si>
    <t xml:space="preserve"> A - Equipamentos</t>
  </si>
  <si>
    <t>Utilização</t>
  </si>
  <si>
    <t>Custo Operacional</t>
  </si>
  <si>
    <t xml:space="preserve">Custo </t>
  </si>
  <si>
    <t>Operat.</t>
  </si>
  <si>
    <t>Improd.</t>
  </si>
  <si>
    <t>Horário</t>
  </si>
  <si>
    <t>Custo Horário de Equipamentos</t>
  </si>
  <si>
    <t xml:space="preserve"> B - Mão de Obra</t>
  </si>
  <si>
    <t>Salário / Mês</t>
  </si>
  <si>
    <t>Custo</t>
  </si>
  <si>
    <t>SINAPI</t>
  </si>
  <si>
    <t>-</t>
  </si>
  <si>
    <t>TOPOGRAFO COM ENCARGOS COMPLEMENTARES</t>
  </si>
  <si>
    <t>ENCARREGADO GERAL DE OBRAS COM ENCARGOS COMPLEMENTARES</t>
  </si>
  <si>
    <t>Custo Horário de Mão-de-Obra</t>
  </si>
  <si>
    <t xml:space="preserve">Custo Horário Total de Execução </t>
  </si>
  <si>
    <t xml:space="preserve"> C - Produção da Equipe</t>
  </si>
  <si>
    <t xml:space="preserve">Custo Unitário de Execução </t>
  </si>
  <si>
    <t>Fator de Influência de Chuvas - FIC</t>
  </si>
  <si>
    <t xml:space="preserve">Custo do FIC </t>
  </si>
  <si>
    <t>Fator de Interferência do Tráfego - FIT</t>
  </si>
  <si>
    <t xml:space="preserve">Custo do FIT </t>
  </si>
  <si>
    <t xml:space="preserve"> D - Custo Unitário de Execução</t>
  </si>
  <si>
    <t>Custo Unitário de Execução</t>
  </si>
  <si>
    <t xml:space="preserve"> E - Materiais e Atividades Auxiliares</t>
  </si>
  <si>
    <t>Preço</t>
  </si>
  <si>
    <t>Unitário</t>
  </si>
  <si>
    <t>Custo Total de Materiais</t>
  </si>
  <si>
    <t xml:space="preserve"> F - Transportes de Materiais</t>
  </si>
  <si>
    <t>Quantidade (t * km)</t>
  </si>
  <si>
    <t>Rodovia para transporte</t>
  </si>
  <si>
    <t>Custo Unitário</t>
  </si>
  <si>
    <t>Tipo</t>
  </si>
  <si>
    <t>Leito Nat.</t>
  </si>
  <si>
    <t>Rev. Prim.</t>
  </si>
  <si>
    <t>Paviment.</t>
  </si>
  <si>
    <t>DMT (km)</t>
  </si>
  <si>
    <t>Cód. Transp</t>
  </si>
  <si>
    <t>Custo Unit.</t>
  </si>
  <si>
    <t>Custo Total de Transportes de Materiais</t>
  </si>
  <si>
    <t xml:space="preserve">Custo Unitário Direto Total </t>
  </si>
  <si>
    <t>Lucro e despesas Indiretas :</t>
  </si>
  <si>
    <t xml:space="preserve">Preço Unitário Total </t>
  </si>
  <si>
    <t xml:space="preserve">Preço Unitário Total (R$/mês x prazo da obra) </t>
  </si>
  <si>
    <t>Observações:</t>
  </si>
  <si>
    <t>1)</t>
  </si>
  <si>
    <t>Na elaboração da presente composição, os índices adotados foram com base no tempo de execução da referida obra</t>
  </si>
  <si>
    <t>2)</t>
  </si>
  <si>
    <t>Para os insumos foram adotados os preços unitários dos insumos da tabela DNIT/Preço de Consultoria.</t>
  </si>
  <si>
    <t xml:space="preserve">   OBRA:</t>
  </si>
  <si>
    <t>COMP - 02</t>
  </si>
  <si>
    <t>02</t>
  </si>
  <si>
    <t>Tipo de Trecho</t>
  </si>
  <si>
    <t>Distância à Percorrer</t>
  </si>
  <si>
    <t>Velocidade Média</t>
  </si>
  <si>
    <t>Rodovia Pavimentada</t>
  </si>
  <si>
    <t>km</t>
  </si>
  <si>
    <t>km/h</t>
  </si>
  <si>
    <t>Estrada em Revestimento Primário</t>
  </si>
  <si>
    <t>Estrada em Terreno Natural</t>
  </si>
  <si>
    <t>Quantidade</t>
  </si>
  <si>
    <t>Tipo de Transporte</t>
  </si>
  <si>
    <t>Fator de Retorno      (K) *</t>
  </si>
  <si>
    <t>Fator Utilização (FU) **</t>
  </si>
  <si>
    <t>Custo Horário R$</t>
  </si>
  <si>
    <t>Custo de Mobiliz. R$</t>
  </si>
  <si>
    <t>EQUIPAMENTOS DE GRANDE PORTE</t>
  </si>
  <si>
    <r>
      <t>TIPO DE TRANSPORTE (</t>
    </r>
    <r>
      <rPr>
        <b/>
        <i/>
        <sz val="8"/>
        <color indexed="10"/>
        <rFont val="Arial"/>
        <family val="2"/>
      </rPr>
      <t>para preenchimento das colunas: H36 ao H45 e H49 ao H53</t>
    </r>
    <r>
      <rPr>
        <b/>
        <sz val="8"/>
        <rFont val="Arial"/>
        <family val="2"/>
      </rPr>
      <t>)</t>
    </r>
  </si>
  <si>
    <t>UTILIZAR APENAS OS TIPOS DE TRANSPORTES DE 2 AO 5</t>
  </si>
  <si>
    <t>CAMINHÕES COMUNS E VEÍCULOS LEVES (Equipamentos Rodantes)</t>
  </si>
  <si>
    <t>Autônomo</t>
  </si>
  <si>
    <t xml:space="preserve">Custo de Transporte dos Equipamentos </t>
  </si>
  <si>
    <t>Mão de Obra</t>
  </si>
  <si>
    <t>Custo Total (R$)</t>
  </si>
  <si>
    <t>Parcial</t>
  </si>
  <si>
    <t>Pousada</t>
  </si>
  <si>
    <t>Alimentação</t>
  </si>
  <si>
    <t>Transporte</t>
  </si>
  <si>
    <t>PROFISSIONAIS DE NÍVEL SUPERIOR</t>
  </si>
  <si>
    <t>TÉCNICOS ESPECIALIZADOS</t>
  </si>
  <si>
    <t>OPERADORES DE EQUIPAMENTOS E MOTORISTAS</t>
  </si>
  <si>
    <t>DEMAIS PROFISSIONAIS</t>
  </si>
  <si>
    <t xml:space="preserve">Custo do Transporte de Mão-de-Obra </t>
  </si>
  <si>
    <t>Custo Unitário Direto Total</t>
  </si>
  <si>
    <t>Preço Unitário Total</t>
  </si>
  <si>
    <t>Os cálculos seguem as orientações do DNIT/2017, segundo o Manual de Custos de Infraestrutura de Transportes - Volume 09 - Mobilização e Desmobilização.</t>
  </si>
  <si>
    <t>a) Deslocamento dos Equipamentos:</t>
  </si>
  <si>
    <r>
      <t xml:space="preserve">Expressão de cálculo do custo da mobilização dos equipamentos: </t>
    </r>
    <r>
      <rPr>
        <b/>
        <sz val="10"/>
        <rFont val="Arial"/>
        <family val="2"/>
      </rPr>
      <t>CMob = {[ DM</t>
    </r>
    <r>
      <rPr>
        <sz val="10"/>
        <rFont val="Arial"/>
        <family val="2"/>
      </rPr>
      <t xml:space="preserve"> *</t>
    </r>
    <r>
      <rPr>
        <b/>
        <sz val="10"/>
        <rFont val="Arial"/>
        <family val="2"/>
      </rPr>
      <t xml:space="preserve"> K</t>
    </r>
    <r>
      <rPr>
        <sz val="10"/>
        <rFont val="Arial"/>
        <family val="2"/>
      </rPr>
      <t xml:space="preserve"> *</t>
    </r>
    <r>
      <rPr>
        <b/>
        <sz val="10"/>
        <rFont val="Arial"/>
        <family val="2"/>
      </rPr>
      <t xml:space="preserve"> FU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] / 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} * CH</t>
    </r>
    <r>
      <rPr>
        <sz val="10"/>
        <rFont val="Arial"/>
        <family val="2"/>
      </rPr>
      <t>, onde: CMob é o custo de mobilização e desmobilização, DM é a distância de mobilização, K é o fator de retorno, FU é o fator de utilização, V é a velocidade média em cada trecho e CH é o custo horário de cada equipamento.</t>
    </r>
  </si>
  <si>
    <t>A distância de mobilização a ser considerada deve ser a da unidade da federação mais próxima, em condições de fornecer a mão de obra e os equipamentos para atender as atividades a serem desenvolvidas, até o local da obra. A distância mínima de mobilização e de desmobilização será de 50 km;</t>
  </si>
  <si>
    <t>3)</t>
  </si>
  <si>
    <t>O deslocamento dos equipamentos poderá ser realizado por rodovias pavimentadas e estradas em revestimento primário ou em terreno natural, utilizando, sempre que possível e viável, os caminhões como primeira alternativa de transporte ou o cavalo mecânico com reboque como segunda alternativa;</t>
  </si>
  <si>
    <t>4)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</si>
  <si>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O Fator de Retorno (K) será igual a 1 quando o veículo não retornar e 2 quando o veículo transportador retornar ao local de origem;</t>
    </r>
  </si>
  <si>
    <t>5)</t>
  </si>
  <si>
    <t>** O Fator de Utilização (FU) de cada equipamento estão conforme a Tabela 02 do manual a que se faz referência na observação 01;</t>
  </si>
  <si>
    <t>6)</t>
  </si>
  <si>
    <t>As ferramentas e os equipamentos leves ou de pequeno porte, cujo peso individual e formato permitem que sejam transportados, embarcados ou rebocados, serão transportados em veículos transportadores autônomos da frota mobilizada (que podem se deslocar pelos próprios meios);</t>
  </si>
  <si>
    <t>b) Deslocamento de Pessoal:</t>
  </si>
  <si>
    <t>O efetivo de mão de obra alojado será estabelecido em função da natureza dos serviços e da disponibilidade local de mão de obra. No caso de impossibilidade de comprovação, deve ser adotado o percentual de 50% do efetivo para a condição alojada, em obras rodoviárias;</t>
  </si>
  <si>
    <t>Nos deslocamentos, a cada quatro horas de percurso, será considerada meia hora adicional de descanso remunerado para motoristas e ajudantes.</t>
  </si>
  <si>
    <t>SINAPI 02/2022</t>
  </si>
  <si>
    <r>
      <t xml:space="preserve">DATA: </t>
    </r>
    <r>
      <rPr>
        <sz val="10"/>
        <rFont val="Calibri"/>
        <family val="2"/>
        <scheme val="minor"/>
      </rPr>
      <t>MARÇO/2022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</si>
</sst>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0000"/>
    <numFmt numFmtId="167" formatCode="#,##0.0000"/>
    <numFmt numFmtId="168" formatCode="#,##0.00000"/>
    <numFmt numFmtId="169" formatCode="#,##0.000"/>
    <numFmt numFmtId="170" formatCode="0.0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rgb="FFFF0000"/>
      <name val="Arial"/>
      <family val="2"/>
    </font>
    <font>
      <b/>
      <i/>
      <u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6">
    <xf numFmtId="0" fontId="0" fillId="0" borderId="0"/>
    <xf numFmtId="164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ill="0" applyBorder="0" applyAlignment="0" applyProtection="0"/>
    <xf numFmtId="9" fontId="9" fillId="0" borderId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9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164" fontId="9" fillId="0" borderId="0" xfId="1" applyBorder="1" applyAlignment="1">
      <alignment horizontal="right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justify"/>
    </xf>
    <xf numFmtId="0" fontId="10" fillId="2" borderId="1" xfId="0" applyFont="1" applyFill="1" applyBorder="1" applyAlignment="1">
      <alignment horizontal="center"/>
    </xf>
    <xf numFmtId="164" fontId="10" fillId="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164" fontId="9" fillId="0" borderId="1" xfId="1" applyBorder="1" applyAlignment="1">
      <alignment horizontal="right"/>
    </xf>
    <xf numFmtId="164" fontId="9" fillId="0" borderId="2" xfId="1" applyBorder="1" applyAlignment="1">
      <alignment horizontal="right"/>
    </xf>
    <xf numFmtId="0" fontId="0" fillId="0" borderId="1" xfId="0" applyBorder="1" applyAlignment="1">
      <alignment horizontal="justify" vertical="top"/>
    </xf>
    <xf numFmtId="39" fontId="9" fillId="0" borderId="2" xfId="1" applyNumberForma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10" fillId="0" borderId="2" xfId="1" applyFont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center"/>
    </xf>
    <xf numFmtId="164" fontId="9" fillId="2" borderId="1" xfId="1" applyFill="1" applyBorder="1" applyAlignment="1">
      <alignment horizontal="right"/>
    </xf>
    <xf numFmtId="164" fontId="10" fillId="2" borderId="1" xfId="1" applyFont="1" applyFill="1" applyBorder="1" applyAlignment="1">
      <alignment horizontal="right"/>
    </xf>
    <xf numFmtId="164" fontId="10" fillId="0" borderId="1" xfId="1" applyFont="1" applyBorder="1" applyAlignment="1">
      <alignment horizontal="right"/>
    </xf>
    <xf numFmtId="0" fontId="0" fillId="0" borderId="0" xfId="0" applyAlignment="1">
      <alignment horizontal="justify" vertical="justify"/>
    </xf>
    <xf numFmtId="164" fontId="9" fillId="0" borderId="0" xfId="1" applyAlignment="1">
      <alignment horizontal="right"/>
    </xf>
    <xf numFmtId="0" fontId="0" fillId="0" borderId="0" xfId="0" applyAlignment="1">
      <alignment horizontal="center" vertical="justify"/>
    </xf>
    <xf numFmtId="164" fontId="0" fillId="0" borderId="1" xfId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justify" vertical="justify"/>
    </xf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justify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/>
    </xf>
    <xf numFmtId="164" fontId="11" fillId="0" borderId="0" xfId="1" applyFont="1" applyBorder="1" applyAlignment="1">
      <alignment horizontal="right"/>
    </xf>
    <xf numFmtId="0" fontId="0" fillId="0" borderId="1" xfId="0" applyBorder="1" applyAlignment="1">
      <alignment horizontal="justify" vertical="top" wrapText="1"/>
    </xf>
    <xf numFmtId="164" fontId="9" fillId="0" borderId="2" xfId="1" applyFont="1" applyBorder="1" applyAlignment="1">
      <alignment horizontal="right"/>
    </xf>
    <xf numFmtId="0" fontId="9" fillId="0" borderId="0" xfId="3"/>
    <xf numFmtId="164" fontId="9" fillId="0" borderId="1" xfId="1" applyFont="1" applyBorder="1" applyAlignment="1">
      <alignment horizontal="right"/>
    </xf>
    <xf numFmtId="0" fontId="13" fillId="0" borderId="11" xfId="0" applyFont="1" applyBorder="1" applyAlignment="1">
      <alignment horizontal="justify" vertical="top" wrapText="1"/>
    </xf>
    <xf numFmtId="164" fontId="9" fillId="0" borderId="2" xfId="1" applyFont="1" applyBorder="1" applyAlignment="1">
      <alignment horizontal="center"/>
    </xf>
    <xf numFmtId="164" fontId="11" fillId="0" borderId="0" xfId="1" applyFont="1" applyBorder="1" applyAlignment="1">
      <alignment horizontal="left"/>
    </xf>
    <xf numFmtId="0" fontId="11" fillId="0" borderId="0" xfId="0" applyFont="1"/>
    <xf numFmtId="39" fontId="9" fillId="0" borderId="2" xfId="1" applyNumberFormat="1" applyFont="1" applyBorder="1" applyAlignment="1">
      <alignment horizontal="right"/>
    </xf>
    <xf numFmtId="2" fontId="9" fillId="0" borderId="2" xfId="1" applyNumberFormat="1" applyFont="1" applyBorder="1" applyAlignment="1">
      <alignment horizontal="center"/>
    </xf>
    <xf numFmtId="0" fontId="14" fillId="0" borderId="1" xfId="0" applyFont="1" applyBorder="1" applyAlignment="1">
      <alignment horizontal="justify" vertical="top"/>
    </xf>
    <xf numFmtId="0" fontId="14" fillId="0" borderId="1" xfId="2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center"/>
    </xf>
    <xf numFmtId="164" fontId="11" fillId="0" borderId="2" xfId="1" applyFont="1" applyBorder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justify"/>
    </xf>
    <xf numFmtId="0" fontId="5" fillId="0" borderId="0" xfId="15"/>
    <xf numFmtId="0" fontId="5" fillId="0" borderId="0" xfId="16"/>
    <xf numFmtId="0" fontId="4" fillId="0" borderId="0" xfId="16" applyFont="1"/>
    <xf numFmtId="39" fontId="9" fillId="0" borderId="0" xfId="1" applyNumberFormat="1" applyBorder="1" applyAlignment="1">
      <alignment horizontal="right"/>
    </xf>
    <xf numFmtId="164" fontId="9" fillId="0" borderId="0" xfId="1"/>
    <xf numFmtId="0" fontId="22" fillId="0" borderId="3" xfId="0" applyFont="1" applyBorder="1" applyAlignment="1">
      <alignment horizontal="left" vertical="top"/>
    </xf>
    <xf numFmtId="164" fontId="24" fillId="4" borderId="1" xfId="1" applyFont="1" applyFill="1" applyBorder="1" applyAlignment="1">
      <alignment horizontal="right"/>
    </xf>
    <xf numFmtId="164" fontId="18" fillId="0" borderId="11" xfId="1" applyFont="1" applyBorder="1" applyAlignment="1">
      <alignment horizontal="right"/>
    </xf>
    <xf numFmtId="0" fontId="18" fillId="0" borderId="0" xfId="0" applyFont="1"/>
    <xf numFmtId="0" fontId="18" fillId="0" borderId="14" xfId="0" applyFont="1" applyBorder="1"/>
    <xf numFmtId="0" fontId="22" fillId="3" borderId="1" xfId="0" applyFont="1" applyFill="1" applyBorder="1" applyAlignment="1">
      <alignment horizontal="center"/>
    </xf>
    <xf numFmtId="0" fontId="18" fillId="0" borderId="1" xfId="0" applyFont="1" applyBorder="1"/>
    <xf numFmtId="164" fontId="18" fillId="0" borderId="1" xfId="1" applyFont="1" applyFill="1" applyBorder="1"/>
    <xf numFmtId="164" fontId="25" fillId="0" borderId="1" xfId="1" applyFont="1" applyBorder="1"/>
    <xf numFmtId="164" fontId="18" fillId="0" borderId="1" xfId="1" applyFont="1" applyBorder="1"/>
    <xf numFmtId="2" fontId="18" fillId="0" borderId="0" xfId="0" applyNumberFormat="1" applyFont="1" applyAlignment="1">
      <alignment horizontal="center"/>
    </xf>
    <xf numFmtId="2" fontId="22" fillId="3" borderId="3" xfId="0" applyNumberFormat="1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164" fontId="22" fillId="0" borderId="3" xfId="1" applyFont="1" applyBorder="1"/>
    <xf numFmtId="0" fontId="22" fillId="0" borderId="4" xfId="0" applyFont="1" applyBorder="1"/>
    <xf numFmtId="2" fontId="18" fillId="0" borderId="1" xfId="0" applyNumberFormat="1" applyFont="1" applyBorder="1"/>
    <xf numFmtId="0" fontId="22" fillId="0" borderId="3" xfId="3" applyFont="1" applyBorder="1" applyAlignment="1">
      <alignment vertical="top"/>
    </xf>
    <xf numFmtId="0" fontId="22" fillId="0" borderId="3" xfId="3" applyFont="1" applyBorder="1"/>
    <xf numFmtId="0" fontId="22" fillId="3" borderId="6" xfId="3" applyFont="1" applyFill="1" applyBorder="1" applyAlignment="1">
      <alignment horizontal="center"/>
    </xf>
    <xf numFmtId="164" fontId="22" fillId="3" borderId="6" xfId="1" applyFont="1" applyFill="1" applyBorder="1" applyAlignment="1">
      <alignment horizontal="center"/>
    </xf>
    <xf numFmtId="0" fontId="18" fillId="0" borderId="7" xfId="3" applyFont="1" applyBorder="1" applyAlignment="1">
      <alignment horizontal="center"/>
    </xf>
    <xf numFmtId="164" fontId="18" fillId="0" borderId="7" xfId="1" applyFont="1" applyBorder="1"/>
    <xf numFmtId="0" fontId="18" fillId="0" borderId="9" xfId="3" applyFont="1" applyBorder="1" applyAlignment="1">
      <alignment horizontal="center"/>
    </xf>
    <xf numFmtId="10" fontId="18" fillId="0" borderId="9" xfId="22" applyNumberFormat="1" applyFont="1" applyBorder="1"/>
    <xf numFmtId="10" fontId="18" fillId="0" borderId="9" xfId="1" applyNumberFormat="1" applyFont="1" applyBorder="1"/>
    <xf numFmtId="0" fontId="18" fillId="0" borderId="5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164" fontId="18" fillId="2" borderId="10" xfId="1" applyFont="1" applyFill="1" applyBorder="1"/>
    <xf numFmtId="164" fontId="22" fillId="2" borderId="10" xfId="1" applyFont="1" applyFill="1" applyBorder="1"/>
    <xf numFmtId="164" fontId="18" fillId="2" borderId="9" xfId="1" applyFont="1" applyFill="1" applyBorder="1"/>
    <xf numFmtId="0" fontId="29" fillId="0" borderId="2" xfId="15" applyFont="1" applyBorder="1"/>
    <xf numFmtId="0" fontId="29" fillId="0" borderId="0" xfId="15" applyFont="1"/>
    <xf numFmtId="0" fontId="29" fillId="0" borderId="14" xfId="15" applyFont="1" applyBorder="1"/>
    <xf numFmtId="0" fontId="31" fillId="0" borderId="3" xfId="15" applyFont="1" applyBorder="1" applyAlignment="1">
      <alignment vertical="top"/>
    </xf>
    <xf numFmtId="0" fontId="31" fillId="0" borderId="3" xfId="15" applyFont="1" applyBorder="1"/>
    <xf numFmtId="0" fontId="25" fillId="0" borderId="11" xfId="15" applyFont="1" applyBorder="1" applyAlignment="1">
      <alignment horizontal="left"/>
    </xf>
    <xf numFmtId="0" fontId="25" fillId="0" borderId="11" xfId="15" applyFont="1" applyBorder="1"/>
    <xf numFmtId="0" fontId="25" fillId="0" borderId="4" xfId="15" applyFont="1" applyBorder="1"/>
    <xf numFmtId="0" fontId="28" fillId="3" borderId="1" xfId="16" applyFont="1" applyFill="1" applyBorder="1" applyAlignment="1">
      <alignment horizontal="center"/>
    </xf>
    <xf numFmtId="0" fontId="29" fillId="0" borderId="1" xfId="16" applyFont="1" applyBorder="1" applyAlignment="1">
      <alignment horizontal="center"/>
    </xf>
    <xf numFmtId="0" fontId="28" fillId="0" borderId="1" xfId="16" applyFont="1" applyBorder="1"/>
    <xf numFmtId="0" fontId="29" fillId="0" borderId="1" xfId="16" applyFont="1" applyBorder="1"/>
    <xf numFmtId="2" fontId="29" fillId="0" borderId="1" xfId="16" applyNumberFormat="1" applyFont="1" applyBorder="1"/>
    <xf numFmtId="0" fontId="26" fillId="0" borderId="1" xfId="17" applyFont="1" applyBorder="1" applyAlignment="1">
      <alignment horizontal="left"/>
    </xf>
    <xf numFmtId="43" fontId="26" fillId="0" borderId="1" xfId="18" applyFont="1" applyBorder="1" applyAlignment="1">
      <alignment horizontal="right"/>
    </xf>
    <xf numFmtId="2" fontId="28" fillId="3" borderId="1" xfId="16" applyNumberFormat="1" applyFont="1" applyFill="1" applyBorder="1"/>
    <xf numFmtId="0" fontId="31" fillId="0" borderId="3" xfId="16" applyFont="1" applyBorder="1" applyAlignment="1">
      <alignment horizontal="left" vertical="center"/>
    </xf>
    <xf numFmtId="0" fontId="25" fillId="0" borderId="11" xfId="16" applyFont="1" applyBorder="1" applyAlignment="1">
      <alignment horizontal="left" vertical="center"/>
    </xf>
    <xf numFmtId="0" fontId="25" fillId="0" borderId="4" xfId="16" applyFont="1" applyBorder="1" applyAlignment="1">
      <alignment horizontal="left" vertical="center"/>
    </xf>
    <xf numFmtId="0" fontId="29" fillId="0" borderId="2" xfId="16" applyFont="1" applyBorder="1"/>
    <xf numFmtId="0" fontId="29" fillId="0" borderId="0" xfId="16" applyFont="1"/>
    <xf numFmtId="0" fontId="29" fillId="0" borderId="14" xfId="16" applyFont="1" applyBorder="1"/>
    <xf numFmtId="164" fontId="18" fillId="0" borderId="9" xfId="1" applyFont="1" applyBorder="1"/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justify" vertical="top" wrapText="1"/>
    </xf>
    <xf numFmtId="164" fontId="22" fillId="0" borderId="1" xfId="1" applyFont="1" applyBorder="1" applyAlignment="1">
      <alignment horizontal="right"/>
    </xf>
    <xf numFmtId="0" fontId="22" fillId="0" borderId="3" xfId="0" applyFont="1" applyBorder="1" applyAlignment="1">
      <alignment horizontal="justify" vertical="top" wrapText="1"/>
    </xf>
    <xf numFmtId="0" fontId="22" fillId="6" borderId="3" xfId="0" applyFont="1" applyFill="1" applyBorder="1" applyAlignment="1">
      <alignment vertical="top"/>
    </xf>
    <xf numFmtId="0" fontId="22" fillId="6" borderId="11" xfId="0" applyFont="1" applyFill="1" applyBorder="1" applyAlignment="1">
      <alignment vertical="top"/>
    </xf>
    <xf numFmtId="0" fontId="22" fillId="6" borderId="4" xfId="0" applyFont="1" applyFill="1" applyBorder="1" applyAlignment="1">
      <alignment vertical="top"/>
    </xf>
    <xf numFmtId="0" fontId="31" fillId="0" borderId="3" xfId="16" applyFont="1" applyBorder="1" applyAlignment="1">
      <alignment horizontal="left" vertical="top"/>
    </xf>
    <xf numFmtId="0" fontId="25" fillId="0" borderId="0" xfId="15" applyFont="1"/>
    <xf numFmtId="0" fontId="5" fillId="0" borderId="15" xfId="15" applyBorder="1"/>
    <xf numFmtId="0" fontId="5" fillId="0" borderId="16" xfId="15" applyBorder="1"/>
    <xf numFmtId="0" fontId="5" fillId="0" borderId="17" xfId="15" applyBorder="1"/>
    <xf numFmtId="0" fontId="34" fillId="0" borderId="0" xfId="0" applyFont="1"/>
    <xf numFmtId="0" fontId="36" fillId="3" borderId="1" xfId="0" applyFont="1" applyFill="1" applyBorder="1" applyAlignment="1">
      <alignment horizontal="justify" vertical="top"/>
    </xf>
    <xf numFmtId="0" fontId="36" fillId="6" borderId="1" xfId="0" applyFont="1" applyFill="1" applyBorder="1" applyAlignment="1">
      <alignment horizontal="justify" vertical="top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justify" vertical="justify"/>
    </xf>
    <xf numFmtId="0" fontId="34" fillId="0" borderId="0" xfId="0" applyFont="1" applyAlignment="1">
      <alignment horizontal="center"/>
    </xf>
    <xf numFmtId="164" fontId="35" fillId="0" borderId="0" xfId="1" applyFont="1" applyAlignment="1">
      <alignment horizontal="right"/>
    </xf>
    <xf numFmtId="0" fontId="22" fillId="3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2" fillId="6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8" fillId="5" borderId="1" xfId="0" applyFont="1" applyFill="1" applyBorder="1" applyAlignment="1">
      <alignment horizontal="justify" vertical="top" wrapText="1"/>
    </xf>
    <xf numFmtId="0" fontId="22" fillId="3" borderId="3" xfId="0" applyFont="1" applyFill="1" applyBorder="1" applyAlignment="1">
      <alignment vertical="justify"/>
    </xf>
    <xf numFmtId="0" fontId="22" fillId="6" borderId="3" xfId="0" applyFont="1" applyFill="1" applyBorder="1" applyAlignment="1">
      <alignment vertical="justify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22" fillId="3" borderId="0" xfId="0" applyFont="1" applyFill="1"/>
    <xf numFmtId="0" fontId="18" fillId="3" borderId="0" xfId="0" applyFont="1" applyFill="1"/>
    <xf numFmtId="0" fontId="18" fillId="3" borderId="14" xfId="0" applyFont="1" applyFill="1" applyBorder="1"/>
    <xf numFmtId="0" fontId="18" fillId="0" borderId="12" xfId="0" applyFont="1" applyBorder="1"/>
    <xf numFmtId="2" fontId="18" fillId="0" borderId="12" xfId="0" applyNumberFormat="1" applyFont="1" applyBorder="1" applyAlignment="1">
      <alignment horizontal="center"/>
    </xf>
    <xf numFmtId="0" fontId="14" fillId="8" borderId="0" xfId="4" applyFont="1" applyFill="1"/>
    <xf numFmtId="0" fontId="15" fillId="8" borderId="0" xfId="4" applyFont="1" applyFill="1" applyAlignment="1">
      <alignment horizontal="right"/>
    </xf>
    <xf numFmtId="0" fontId="14" fillId="0" borderId="0" xfId="4" applyFont="1"/>
    <xf numFmtId="0" fontId="15" fillId="9" borderId="5" xfId="4" applyFont="1" applyFill="1" applyBorder="1" applyAlignment="1">
      <alignment horizontal="center" vertical="center" wrapText="1"/>
    </xf>
    <xf numFmtId="0" fontId="15" fillId="8" borderId="0" xfId="4" applyFont="1" applyFill="1" applyAlignment="1">
      <alignment horizontal="center" vertical="center"/>
    </xf>
    <xf numFmtId="0" fontId="14" fillId="9" borderId="3" xfId="4" applyFont="1" applyFill="1" applyBorder="1" applyAlignment="1">
      <alignment horizontal="left" vertical="center"/>
    </xf>
    <xf numFmtId="0" fontId="14" fillId="9" borderId="11" xfId="4" applyFont="1" applyFill="1" applyBorder="1" applyAlignment="1">
      <alignment horizontal="left" vertical="center"/>
    </xf>
    <xf numFmtId="0" fontId="15" fillId="9" borderId="11" xfId="4" quotePrefix="1" applyFont="1" applyFill="1" applyBorder="1" applyAlignment="1">
      <alignment horizontal="center" vertical="center"/>
    </xf>
    <xf numFmtId="0" fontId="14" fillId="9" borderId="11" xfId="4" applyFont="1" applyFill="1" applyBorder="1" applyAlignment="1">
      <alignment horizontal="right" vertical="center"/>
    </xf>
    <xf numFmtId="0" fontId="15" fillId="9" borderId="4" xfId="4" quotePrefix="1" applyFont="1" applyFill="1" applyBorder="1" applyAlignment="1">
      <alignment horizontal="left" vertical="center"/>
    </xf>
    <xf numFmtId="0" fontId="14" fillId="0" borderId="0" xfId="4" applyFont="1" applyAlignment="1">
      <alignment vertical="center"/>
    </xf>
    <xf numFmtId="0" fontId="9" fillId="0" borderId="0" xfId="4"/>
    <xf numFmtId="0" fontId="14" fillId="8" borderId="0" xfId="4" applyFont="1" applyFill="1" applyAlignment="1">
      <alignment vertical="center"/>
    </xf>
    <xf numFmtId="0" fontId="14" fillId="8" borderId="5" xfId="4" applyFont="1" applyFill="1" applyBorder="1" applyAlignment="1">
      <alignment horizontal="center" vertical="center"/>
    </xf>
    <xf numFmtId="0" fontId="14" fillId="8" borderId="1" xfId="4" applyFont="1" applyFill="1" applyBorder="1" applyAlignment="1">
      <alignment horizontal="center" vertical="center"/>
    </xf>
    <xf numFmtId="0" fontId="14" fillId="8" borderId="12" xfId="4" applyFont="1" applyFill="1" applyBorder="1" applyAlignment="1">
      <alignment horizontal="center" vertical="center"/>
    </xf>
    <xf numFmtId="0" fontId="14" fillId="8" borderId="8" xfId="4" applyFont="1" applyFill="1" applyBorder="1" applyAlignment="1">
      <alignment horizontal="center" vertical="center"/>
    </xf>
    <xf numFmtId="0" fontId="15" fillId="8" borderId="15" xfId="4" applyFont="1" applyFill="1" applyBorder="1" applyAlignment="1">
      <alignment horizontal="right" vertical="center"/>
    </xf>
    <xf numFmtId="0" fontId="15" fillId="8" borderId="16" xfId="4" applyFont="1" applyFill="1" applyBorder="1" applyAlignment="1">
      <alignment horizontal="left" vertical="center"/>
    </xf>
    <xf numFmtId="0" fontId="14" fillId="8" borderId="16" xfId="4" applyFont="1" applyFill="1" applyBorder="1" applyAlignment="1">
      <alignment horizontal="center" vertical="center"/>
    </xf>
    <xf numFmtId="0" fontId="14" fillId="8" borderId="16" xfId="4" applyFont="1" applyFill="1" applyBorder="1" applyAlignment="1">
      <alignment horizontal="left" vertical="center"/>
    </xf>
    <xf numFmtId="0" fontId="14" fillId="8" borderId="16" xfId="4" applyFont="1" applyFill="1" applyBorder="1" applyAlignment="1">
      <alignment vertical="center"/>
    </xf>
    <xf numFmtId="0" fontId="14" fillId="8" borderId="17" xfId="4" applyFont="1" applyFill="1" applyBorder="1" applyAlignment="1">
      <alignment vertical="center"/>
    </xf>
    <xf numFmtId="166" fontId="14" fillId="8" borderId="14" xfId="4" applyNumberFormat="1" applyFont="1" applyFill="1" applyBorder="1" applyAlignment="1">
      <alignment horizontal="center" vertical="center"/>
    </xf>
    <xf numFmtId="4" fontId="14" fillId="8" borderId="7" xfId="4" applyNumberFormat="1" applyFont="1" applyFill="1" applyBorder="1" applyAlignment="1">
      <alignment horizontal="center" vertical="center"/>
    </xf>
    <xf numFmtId="4" fontId="14" fillId="8" borderId="0" xfId="4" applyNumberFormat="1" applyFont="1" applyFill="1" applyAlignment="1">
      <alignment horizontal="center" vertical="center"/>
    </xf>
    <xf numFmtId="167" fontId="14" fillId="8" borderId="7" xfId="1" applyNumberFormat="1" applyFont="1" applyFill="1" applyBorder="1" applyAlignment="1" applyProtection="1">
      <alignment horizontal="right" vertical="center"/>
    </xf>
    <xf numFmtId="0" fontId="15" fillId="8" borderId="2" xfId="4" applyFont="1" applyFill="1" applyBorder="1" applyAlignment="1">
      <alignment horizontal="right" vertical="center"/>
    </xf>
    <xf numFmtId="0" fontId="15" fillId="8" borderId="0" xfId="4" applyFont="1" applyFill="1" applyAlignment="1">
      <alignment horizontal="left" vertical="center"/>
    </xf>
    <xf numFmtId="0" fontId="14" fillId="8" borderId="0" xfId="4" applyFont="1" applyFill="1" applyAlignment="1">
      <alignment horizontal="center" vertical="center"/>
    </xf>
    <xf numFmtId="0" fontId="14" fillId="8" borderId="0" xfId="4" applyFont="1" applyFill="1" applyAlignment="1">
      <alignment horizontal="left" vertical="center"/>
    </xf>
    <xf numFmtId="0" fontId="14" fillId="8" borderId="14" xfId="4" applyFont="1" applyFill="1" applyBorder="1" applyAlignment="1">
      <alignment vertical="center"/>
    </xf>
    <xf numFmtId="167" fontId="14" fillId="8" borderId="0" xfId="1" applyNumberFormat="1" applyFont="1" applyFill="1" applyBorder="1" applyAlignment="1" applyProtection="1">
      <alignment horizontal="right" vertical="center"/>
    </xf>
    <xf numFmtId="0" fontId="14" fillId="8" borderId="13" xfId="4" applyFont="1" applyFill="1" applyBorder="1" applyAlignment="1">
      <alignment horizontal="right" vertical="center"/>
    </xf>
    <xf numFmtId="0" fontId="14" fillId="8" borderId="12" xfId="4" applyFont="1" applyFill="1" applyBorder="1" applyAlignment="1">
      <alignment horizontal="left" vertical="center"/>
    </xf>
    <xf numFmtId="0" fontId="14" fillId="8" borderId="18" xfId="4" applyFont="1" applyFill="1" applyBorder="1" applyAlignment="1">
      <alignment horizontal="left" vertical="center"/>
    </xf>
    <xf numFmtId="166" fontId="14" fillId="8" borderId="18" xfId="4" applyNumberFormat="1" applyFont="1" applyFill="1" applyBorder="1" applyAlignment="1">
      <alignment horizontal="center" vertical="center"/>
    </xf>
    <xf numFmtId="167" fontId="14" fillId="8" borderId="8" xfId="1" applyNumberFormat="1" applyFont="1" applyFill="1" applyBorder="1" applyAlignment="1" applyProtection="1">
      <alignment horizontal="right" vertical="center"/>
    </xf>
    <xf numFmtId="167" fontId="14" fillId="8" borderId="4" xfId="1" applyNumberFormat="1" applyFont="1" applyFill="1" applyBorder="1" applyAlignment="1" applyProtection="1">
      <alignment vertical="center"/>
    </xf>
    <xf numFmtId="0" fontId="14" fillId="8" borderId="11" xfId="4" applyFont="1" applyFill="1" applyBorder="1" applyAlignment="1">
      <alignment vertical="center"/>
    </xf>
    <xf numFmtId="4" fontId="14" fillId="8" borderId="11" xfId="4" applyNumberFormat="1" applyFont="1" applyFill="1" applyBorder="1" applyAlignment="1">
      <alignment vertical="center"/>
    </xf>
    <xf numFmtId="0" fontId="15" fillId="8" borderId="15" xfId="4" applyFont="1" applyFill="1" applyBorder="1" applyAlignment="1">
      <alignment horizontal="center" vertical="center"/>
    </xf>
    <xf numFmtId="1" fontId="15" fillId="8" borderId="16" xfId="4" applyNumberFormat="1" applyFont="1" applyFill="1" applyBorder="1" applyAlignment="1">
      <alignment horizontal="center" vertical="center"/>
    </xf>
    <xf numFmtId="0" fontId="14" fillId="8" borderId="17" xfId="4" applyFont="1" applyFill="1" applyBorder="1" applyAlignment="1">
      <alignment horizontal="center" vertical="center"/>
    </xf>
    <xf numFmtId="166" fontId="14" fillId="10" borderId="5" xfId="4" applyNumberFormat="1" applyFont="1" applyFill="1" applyBorder="1" applyAlignment="1" applyProtection="1">
      <alignment horizontal="center" vertical="center"/>
      <protection locked="0"/>
    </xf>
    <xf numFmtId="167" fontId="14" fillId="8" borderId="5" xfId="4" applyNumberFormat="1" applyFont="1" applyFill="1" applyBorder="1" applyAlignment="1">
      <alignment horizontal="right" vertical="center"/>
    </xf>
    <xf numFmtId="167" fontId="14" fillId="8" borderId="17" xfId="1" applyNumberFormat="1" applyFont="1" applyFill="1" applyBorder="1" applyAlignment="1" applyProtection="1">
      <alignment horizontal="right" vertical="center"/>
    </xf>
    <xf numFmtId="0" fontId="15" fillId="8" borderId="2" xfId="4" applyFont="1" applyFill="1" applyBorder="1" applyAlignment="1">
      <alignment horizontal="center" vertical="center"/>
    </xf>
    <xf numFmtId="1" fontId="15" fillId="8" borderId="0" xfId="4" applyNumberFormat="1" applyFont="1" applyFill="1" applyAlignment="1">
      <alignment horizontal="center" vertical="center"/>
    </xf>
    <xf numFmtId="0" fontId="14" fillId="8" borderId="14" xfId="4" applyFont="1" applyFill="1" applyBorder="1" applyAlignment="1">
      <alignment horizontal="center" vertical="center"/>
    </xf>
    <xf numFmtId="166" fontId="14" fillId="10" borderId="7" xfId="4" applyNumberFormat="1" applyFont="1" applyFill="1" applyBorder="1" applyAlignment="1" applyProtection="1">
      <alignment horizontal="center" vertical="center"/>
      <protection locked="0"/>
    </xf>
    <xf numFmtId="167" fontId="14" fillId="8" borderId="7" xfId="4" applyNumberFormat="1" applyFont="1" applyFill="1" applyBorder="1" applyAlignment="1">
      <alignment horizontal="right" vertical="center"/>
    </xf>
    <xf numFmtId="167" fontId="14" fillId="8" borderId="14" xfId="1" applyNumberFormat="1" applyFont="1" applyFill="1" applyBorder="1" applyAlignment="1" applyProtection="1">
      <alignment horizontal="right" vertical="center"/>
    </xf>
    <xf numFmtId="0" fontId="15" fillId="10" borderId="2" xfId="4" applyFont="1" applyFill="1" applyBorder="1" applyAlignment="1" applyProtection="1">
      <alignment horizontal="right" vertical="center"/>
      <protection locked="0"/>
    </xf>
    <xf numFmtId="2" fontId="15" fillId="10" borderId="0" xfId="4" applyNumberFormat="1" applyFont="1" applyFill="1" applyAlignment="1" applyProtection="1">
      <alignment horizontal="left" vertical="center"/>
      <protection locked="0"/>
    </xf>
    <xf numFmtId="0" fontId="14" fillId="10" borderId="0" xfId="4" applyFont="1" applyFill="1" applyAlignment="1" applyProtection="1">
      <alignment horizontal="center" vertical="center"/>
      <protection locked="0"/>
    </xf>
    <xf numFmtId="0" fontId="14" fillId="10" borderId="0" xfId="4" applyFont="1" applyFill="1" applyAlignment="1" applyProtection="1">
      <alignment horizontal="left" vertical="center"/>
      <protection locked="0"/>
    </xf>
    <xf numFmtId="0" fontId="14" fillId="10" borderId="0" xfId="4" applyFont="1" applyFill="1" applyAlignment="1" applyProtection="1">
      <alignment vertical="center"/>
      <protection locked="0"/>
    </xf>
    <xf numFmtId="0" fontId="14" fillId="10" borderId="14" xfId="4" applyFont="1" applyFill="1" applyBorder="1" applyAlignment="1" applyProtection="1">
      <alignment horizontal="center" vertical="center"/>
      <protection locked="0"/>
    </xf>
    <xf numFmtId="167" fontId="14" fillId="10" borderId="7" xfId="4" applyNumberFormat="1" applyFont="1" applyFill="1" applyBorder="1" applyAlignment="1" applyProtection="1">
      <alignment horizontal="right" vertical="center"/>
      <protection locked="0"/>
    </xf>
    <xf numFmtId="166" fontId="14" fillId="10" borderId="14" xfId="4" applyNumberFormat="1" applyFont="1" applyFill="1" applyBorder="1" applyAlignment="1" applyProtection="1">
      <alignment horizontal="center" vertical="center"/>
      <protection locked="0"/>
    </xf>
    <xf numFmtId="0" fontId="15" fillId="10" borderId="13" xfId="4" applyFont="1" applyFill="1" applyBorder="1" applyAlignment="1" applyProtection="1">
      <alignment horizontal="right" vertical="center"/>
      <protection locked="0"/>
    </xf>
    <xf numFmtId="2" fontId="15" fillId="10" borderId="12" xfId="4" applyNumberFormat="1" applyFont="1" applyFill="1" applyBorder="1" applyAlignment="1" applyProtection="1">
      <alignment horizontal="left" vertical="center"/>
      <protection locked="0"/>
    </xf>
    <xf numFmtId="0" fontId="14" fillId="10" borderId="12" xfId="4" applyFont="1" applyFill="1" applyBorder="1" applyAlignment="1" applyProtection="1">
      <alignment horizontal="left" vertical="center"/>
      <protection locked="0"/>
    </xf>
    <xf numFmtId="0" fontId="14" fillId="10" borderId="12" xfId="4" applyFont="1" applyFill="1" applyBorder="1" applyAlignment="1" applyProtection="1">
      <alignment vertical="center"/>
      <protection locked="0"/>
    </xf>
    <xf numFmtId="0" fontId="14" fillId="10" borderId="12" xfId="4" applyFont="1" applyFill="1" applyBorder="1" applyAlignment="1" applyProtection="1">
      <alignment horizontal="center" vertical="center"/>
      <protection locked="0"/>
    </xf>
    <xf numFmtId="0" fontId="14" fillId="10" borderId="18" xfId="4" applyFont="1" applyFill="1" applyBorder="1" applyAlignment="1" applyProtection="1">
      <alignment horizontal="center" vertical="center"/>
      <protection locked="0"/>
    </xf>
    <xf numFmtId="166" fontId="14" fillId="10" borderId="18" xfId="4" applyNumberFormat="1" applyFont="1" applyFill="1" applyBorder="1" applyAlignment="1" applyProtection="1">
      <alignment horizontal="center" vertical="center"/>
      <protection locked="0"/>
    </xf>
    <xf numFmtId="167" fontId="14" fillId="8" borderId="11" xfId="4" applyNumberFormat="1" applyFont="1" applyFill="1" applyBorder="1" applyAlignment="1">
      <alignment vertical="center"/>
    </xf>
    <xf numFmtId="0" fontId="14" fillId="5" borderId="11" xfId="4" applyFont="1" applyFill="1" applyBorder="1" applyAlignment="1">
      <alignment vertical="center"/>
    </xf>
    <xf numFmtId="4" fontId="14" fillId="5" borderId="11" xfId="4" applyNumberFormat="1" applyFont="1" applyFill="1" applyBorder="1" applyAlignment="1">
      <alignment vertical="center"/>
    </xf>
    <xf numFmtId="4" fontId="14" fillId="5" borderId="4" xfId="4" applyNumberFormat="1" applyFont="1" applyFill="1" applyBorder="1" applyAlignment="1">
      <alignment horizontal="right" vertical="center"/>
    </xf>
    <xf numFmtId="167" fontId="14" fillId="5" borderId="1" xfId="4" applyNumberFormat="1" applyFont="1" applyFill="1" applyBorder="1" applyAlignment="1">
      <alignment vertical="center"/>
    </xf>
    <xf numFmtId="0" fontId="14" fillId="5" borderId="3" xfId="4" applyFont="1" applyFill="1" applyBorder="1" applyAlignment="1">
      <alignment vertical="center"/>
    </xf>
    <xf numFmtId="168" fontId="14" fillId="5" borderId="11" xfId="4" applyNumberFormat="1" applyFont="1" applyFill="1" applyBorder="1" applyAlignment="1">
      <alignment vertical="center"/>
    </xf>
    <xf numFmtId="0" fontId="14" fillId="0" borderId="4" xfId="4" applyFont="1" applyBorder="1" applyAlignment="1">
      <alignment vertical="center"/>
    </xf>
    <xf numFmtId="4" fontId="14" fillId="5" borderId="11" xfId="4" applyNumberFormat="1" applyFont="1" applyFill="1" applyBorder="1" applyAlignment="1">
      <alignment horizontal="right" vertical="center"/>
    </xf>
    <xf numFmtId="10" fontId="14" fillId="5" borderId="11" xfId="4" applyNumberFormat="1" applyFont="1" applyFill="1" applyBorder="1" applyAlignment="1">
      <alignment horizontal="right" vertical="center"/>
    </xf>
    <xf numFmtId="167" fontId="14" fillId="5" borderId="1" xfId="1" applyNumberFormat="1" applyFont="1" applyFill="1" applyBorder="1" applyAlignment="1" applyProtection="1">
      <alignment vertical="center"/>
    </xf>
    <xf numFmtId="168" fontId="14" fillId="10" borderId="11" xfId="4" applyNumberFormat="1" applyFont="1" applyFill="1" applyBorder="1" applyAlignment="1" applyProtection="1">
      <alignment vertical="center"/>
      <protection locked="0"/>
    </xf>
    <xf numFmtId="167" fontId="14" fillId="5" borderId="11" xfId="4" applyNumberFormat="1" applyFont="1" applyFill="1" applyBorder="1" applyAlignment="1">
      <alignment horizontal="left" vertical="center"/>
    </xf>
    <xf numFmtId="167" fontId="15" fillId="8" borderId="4" xfId="1" applyNumberFormat="1" applyFont="1" applyFill="1" applyBorder="1" applyAlignment="1" applyProtection="1">
      <alignment vertical="center"/>
    </xf>
    <xf numFmtId="0" fontId="14" fillId="8" borderId="0" xfId="4" applyFont="1" applyFill="1" applyAlignment="1">
      <alignment horizontal="right" vertical="center"/>
    </xf>
    <xf numFmtId="0" fontId="14" fillId="8" borderId="16" xfId="4" applyFont="1" applyFill="1" applyBorder="1" applyAlignment="1">
      <alignment horizontal="right" vertical="center"/>
    </xf>
    <xf numFmtId="4" fontId="14" fillId="8" borderId="8" xfId="4" applyNumberFormat="1" applyFont="1" applyFill="1" applyBorder="1" applyAlignment="1">
      <alignment horizontal="center" vertical="center"/>
    </xf>
    <xf numFmtId="2" fontId="15" fillId="10" borderId="0" xfId="4" applyNumberFormat="1" applyFont="1" applyFill="1" applyAlignment="1" applyProtection="1">
      <alignment vertical="center"/>
      <protection locked="0"/>
    </xf>
    <xf numFmtId="0" fontId="14" fillId="10" borderId="14" xfId="4" applyFont="1" applyFill="1" applyBorder="1" applyAlignment="1" applyProtection="1">
      <alignment vertical="center"/>
      <protection locked="0"/>
    </xf>
    <xf numFmtId="169" fontId="14" fillId="10" borderId="7" xfId="4" applyNumberFormat="1" applyFont="1" applyFill="1" applyBorder="1" applyAlignment="1" applyProtection="1">
      <alignment horizontal="center" vertical="center"/>
      <protection locked="0"/>
    </xf>
    <xf numFmtId="4" fontId="14" fillId="10" borderId="7" xfId="4" applyNumberFormat="1" applyFont="1" applyFill="1" applyBorder="1" applyAlignment="1" applyProtection="1">
      <alignment horizontal="center" vertical="center"/>
      <protection locked="0"/>
    </xf>
    <xf numFmtId="2" fontId="15" fillId="10" borderId="0" xfId="4" applyNumberFormat="1" applyFont="1" applyFill="1" applyAlignment="1" applyProtection="1">
      <alignment horizontal="right" vertical="center"/>
      <protection locked="0"/>
    </xf>
    <xf numFmtId="0" fontId="14" fillId="10" borderId="13" xfId="4" applyFont="1" applyFill="1" applyBorder="1" applyAlignment="1" applyProtection="1">
      <alignment horizontal="center" vertical="center"/>
      <protection locked="0"/>
    </xf>
    <xf numFmtId="2" fontId="14" fillId="10" borderId="12" xfId="4" applyNumberFormat="1" applyFont="1" applyFill="1" applyBorder="1" applyAlignment="1" applyProtection="1">
      <alignment horizontal="center" vertical="center"/>
      <protection locked="0"/>
    </xf>
    <xf numFmtId="0" fontId="14" fillId="10" borderId="18" xfId="4" applyFont="1" applyFill="1" applyBorder="1" applyAlignment="1" applyProtection="1">
      <alignment vertical="center"/>
      <protection locked="0"/>
    </xf>
    <xf numFmtId="4" fontId="14" fillId="8" borderId="16" xfId="4" applyNumberFormat="1" applyFont="1" applyFill="1" applyBorder="1" applyAlignment="1">
      <alignment vertical="center"/>
    </xf>
    <xf numFmtId="164" fontId="14" fillId="8" borderId="0" xfId="1" applyFont="1" applyFill="1" applyBorder="1" applyAlignment="1" applyProtection="1">
      <alignment vertical="center"/>
    </xf>
    <xf numFmtId="0" fontId="14" fillId="5" borderId="1" xfId="4" applyFont="1" applyFill="1" applyBorder="1" applyAlignment="1">
      <alignment horizontal="center" vertical="center" wrapText="1"/>
    </xf>
    <xf numFmtId="0" fontId="14" fillId="8" borderId="18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4" fontId="14" fillId="10" borderId="9" xfId="4" applyNumberFormat="1" applyFont="1" applyFill="1" applyBorder="1" applyAlignment="1" applyProtection="1">
      <alignment horizontal="center" vertical="center"/>
      <protection locked="0"/>
    </xf>
    <xf numFmtId="170" fontId="14" fillId="8" borderId="22" xfId="4" applyNumberFormat="1" applyFont="1" applyFill="1" applyBorder="1" applyAlignment="1">
      <alignment horizontal="center" vertical="center"/>
    </xf>
    <xf numFmtId="1" fontId="14" fillId="8" borderId="22" xfId="4" applyNumberFormat="1" applyFont="1" applyFill="1" applyBorder="1" applyAlignment="1">
      <alignment horizontal="center" vertical="center"/>
    </xf>
    <xf numFmtId="43" fontId="14" fillId="0" borderId="0" xfId="4" applyNumberFormat="1" applyFont="1" applyAlignment="1">
      <alignment vertical="center"/>
    </xf>
    <xf numFmtId="170" fontId="14" fillId="8" borderId="20" xfId="4" applyNumberFormat="1" applyFont="1" applyFill="1" applyBorder="1" applyAlignment="1">
      <alignment horizontal="center" vertical="center"/>
    </xf>
    <xf numFmtId="4" fontId="14" fillId="8" borderId="20" xfId="4" applyNumberFormat="1" applyFont="1" applyFill="1" applyBorder="1" applyAlignment="1">
      <alignment horizontal="center" vertical="center"/>
    </xf>
    <xf numFmtId="2" fontId="15" fillId="8" borderId="0" xfId="4" applyNumberFormat="1" applyFont="1" applyFill="1" applyAlignment="1">
      <alignment horizontal="left" vertical="center"/>
    </xf>
    <xf numFmtId="0" fontId="14" fillId="5" borderId="0" xfId="4" applyFont="1" applyFill="1" applyAlignment="1">
      <alignment horizontal="center" vertical="center"/>
    </xf>
    <xf numFmtId="0" fontId="14" fillId="5" borderId="0" xfId="4" applyFont="1" applyFill="1" applyAlignment="1">
      <alignment horizontal="left" vertical="center" wrapText="1"/>
    </xf>
    <xf numFmtId="0" fontId="14" fillId="8" borderId="0" xfId="4" applyFont="1" applyFill="1" applyAlignment="1">
      <alignment horizontal="justify" vertical="center" wrapText="1"/>
    </xf>
    <xf numFmtId="166" fontId="14" fillId="8" borderId="7" xfId="4" applyNumberFormat="1" applyFont="1" applyFill="1" applyBorder="1" applyAlignment="1">
      <alignment horizontal="center" vertical="center"/>
    </xf>
    <xf numFmtId="170" fontId="14" fillId="8" borderId="21" xfId="4" applyNumberFormat="1" applyFont="1" applyFill="1" applyBorder="1" applyAlignment="1">
      <alignment horizontal="center" vertical="center"/>
    </xf>
    <xf numFmtId="4" fontId="14" fillId="8" borderId="21" xfId="4" applyNumberFormat="1" applyFont="1" applyFill="1" applyBorder="1" applyAlignment="1">
      <alignment horizontal="center" vertical="center"/>
    </xf>
    <xf numFmtId="0" fontId="14" fillId="8" borderId="2" xfId="4" applyFont="1" applyFill="1" applyBorder="1" applyAlignment="1">
      <alignment horizontal="center" vertical="center"/>
    </xf>
    <xf numFmtId="166" fontId="14" fillId="8" borderId="8" xfId="4" applyNumberFormat="1" applyFont="1" applyFill="1" applyBorder="1" applyAlignment="1">
      <alignment horizontal="center" vertical="center"/>
    </xf>
    <xf numFmtId="168" fontId="14" fillId="8" borderId="9" xfId="4" applyNumberFormat="1" applyFont="1" applyFill="1" applyBorder="1" applyAlignment="1">
      <alignment vertical="center"/>
    </xf>
    <xf numFmtId="167" fontId="14" fillId="8" borderId="7" xfId="1" applyNumberFormat="1" applyFont="1" applyFill="1" applyBorder="1" applyAlignment="1" applyProtection="1">
      <alignment vertical="center"/>
    </xf>
    <xf numFmtId="167" fontId="15" fillId="8" borderId="1" xfId="1" applyNumberFormat="1" applyFont="1" applyFill="1" applyBorder="1" applyAlignment="1" applyProtection="1">
      <alignment vertical="center"/>
    </xf>
    <xf numFmtId="169" fontId="14" fillId="8" borderId="16" xfId="4" applyNumberFormat="1" applyFont="1" applyFill="1" applyBorder="1" applyAlignment="1">
      <alignment horizontal="center" vertical="center"/>
    </xf>
    <xf numFmtId="4" fontId="14" fillId="8" borderId="16" xfId="4" applyNumberFormat="1" applyFont="1" applyFill="1" applyBorder="1" applyAlignment="1">
      <alignment horizontal="right" vertical="center"/>
    </xf>
    <xf numFmtId="167" fontId="14" fillId="8" borderId="16" xfId="1" applyNumberFormat="1" applyFont="1" applyFill="1" applyBorder="1" applyAlignment="1" applyProtection="1">
      <alignment vertical="center"/>
    </xf>
    <xf numFmtId="10" fontId="15" fillId="8" borderId="0" xfId="4" applyNumberFormat="1" applyFont="1" applyFill="1" applyAlignment="1">
      <alignment horizontal="center" vertical="center"/>
    </xf>
    <xf numFmtId="167" fontId="15" fillId="8" borderId="1" xfId="1" applyNumberFormat="1" applyFont="1" applyFill="1" applyBorder="1" applyAlignment="1" applyProtection="1">
      <alignment horizontal="right" vertical="center"/>
    </xf>
    <xf numFmtId="4" fontId="15" fillId="8" borderId="1" xfId="1" applyNumberFormat="1" applyFont="1" applyFill="1" applyBorder="1" applyAlignment="1" applyProtection="1">
      <alignment horizontal="right" vertical="center"/>
    </xf>
    <xf numFmtId="164" fontId="15" fillId="8" borderId="1" xfId="1" applyFont="1" applyFill="1" applyBorder="1" applyAlignment="1" applyProtection="1">
      <alignment horizontal="right" vertical="center"/>
    </xf>
    <xf numFmtId="0" fontId="15" fillId="8" borderId="15" xfId="4" applyFont="1" applyFill="1" applyBorder="1" applyAlignment="1">
      <alignment vertical="top"/>
    </xf>
    <xf numFmtId="0" fontId="15" fillId="8" borderId="16" xfId="4" applyFont="1" applyFill="1" applyBorder="1" applyAlignment="1">
      <alignment vertical="top"/>
    </xf>
    <xf numFmtId="0" fontId="14" fillId="8" borderId="0" xfId="4" applyFont="1" applyFill="1" applyAlignment="1">
      <alignment horizontal="right" vertical="top"/>
    </xf>
    <xf numFmtId="0" fontId="14" fillId="8" borderId="2" xfId="4" applyFont="1" applyFill="1" applyBorder="1" applyAlignment="1">
      <alignment vertical="top"/>
    </xf>
    <xf numFmtId="0" fontId="14" fillId="8" borderId="0" xfId="4" applyFont="1" applyFill="1" applyAlignment="1">
      <alignment vertical="top"/>
    </xf>
    <xf numFmtId="0" fontId="14" fillId="8" borderId="0" xfId="4" applyFont="1" applyFill="1" applyAlignment="1">
      <alignment horizontal="left" vertical="top" wrapText="1"/>
    </xf>
    <xf numFmtId="0" fontId="14" fillId="8" borderId="14" xfId="4" applyFont="1" applyFill="1" applyBorder="1" applyAlignment="1">
      <alignment horizontal="left" vertical="top" wrapText="1"/>
    </xf>
    <xf numFmtId="0" fontId="14" fillId="8" borderId="13" xfId="4" applyFont="1" applyFill="1" applyBorder="1" applyAlignment="1">
      <alignment vertical="top"/>
    </xf>
    <xf numFmtId="0" fontId="14" fillId="8" borderId="12" xfId="4" applyFont="1" applyFill="1" applyBorder="1" applyAlignment="1">
      <alignment vertical="top"/>
    </xf>
    <xf numFmtId="0" fontId="14" fillId="8" borderId="12" xfId="4" applyFont="1" applyFill="1" applyBorder="1" applyAlignment="1">
      <alignment horizontal="left" vertical="top" wrapText="1"/>
    </xf>
    <xf numFmtId="0" fontId="14" fillId="8" borderId="18" xfId="4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vertical="top" wrapText="1"/>
    </xf>
    <xf numFmtId="4" fontId="18" fillId="0" borderId="1" xfId="0" applyNumberFormat="1" applyFont="1" applyBorder="1"/>
    <xf numFmtId="0" fontId="22" fillId="3" borderId="2" xfId="0" applyFont="1" applyFill="1" applyBorder="1" applyAlignment="1">
      <alignment horizontal="center"/>
    </xf>
    <xf numFmtId="0" fontId="22" fillId="6" borderId="0" xfId="0" applyFont="1" applyFill="1"/>
    <xf numFmtId="0" fontId="18" fillId="6" borderId="0" xfId="0" applyFont="1" applyFill="1"/>
    <xf numFmtId="0" fontId="18" fillId="6" borderId="14" xfId="0" applyFont="1" applyFill="1" applyBorder="1"/>
    <xf numFmtId="0" fontId="22" fillId="3" borderId="0" xfId="0" applyFont="1" applyFill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quotePrefix="1" applyFont="1" applyBorder="1" applyAlignment="1">
      <alignment horizontal="center" vertical="top" wrapText="1"/>
    </xf>
    <xf numFmtId="0" fontId="36" fillId="3" borderId="3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36" fillId="6" borderId="3" xfId="0" applyFont="1" applyFill="1" applyBorder="1" applyAlignment="1">
      <alignment horizontal="center" vertical="top"/>
    </xf>
    <xf numFmtId="0" fontId="14" fillId="8" borderId="2" xfId="4" applyFont="1" applyFill="1" applyBorder="1" applyAlignment="1">
      <alignment horizontal="left"/>
    </xf>
    <xf numFmtId="0" fontId="14" fillId="8" borderId="0" xfId="4" applyFont="1" applyFill="1" applyAlignment="1">
      <alignment horizontal="left"/>
    </xf>
    <xf numFmtId="0" fontId="15" fillId="8" borderId="14" xfId="4" applyFont="1" applyFill="1" applyBorder="1" applyAlignment="1">
      <alignment horizontal="right"/>
    </xf>
    <xf numFmtId="17" fontId="15" fillId="8" borderId="0" xfId="4" applyNumberFormat="1" applyFont="1" applyFill="1"/>
    <xf numFmtId="0" fontId="15" fillId="8" borderId="0" xfId="4" applyFont="1" applyFill="1"/>
    <xf numFmtId="0" fontId="15" fillId="8" borderId="14" xfId="4" applyFont="1" applyFill="1" applyBorder="1"/>
    <xf numFmtId="0" fontId="14" fillId="8" borderId="13" xfId="4" applyFont="1" applyFill="1" applyBorder="1" applyAlignment="1">
      <alignment horizontal="left"/>
    </xf>
    <xf numFmtId="0" fontId="14" fillId="8" borderId="12" xfId="4" applyFont="1" applyFill="1" applyBorder="1" applyAlignment="1">
      <alignment horizontal="left"/>
    </xf>
    <xf numFmtId="0" fontId="15" fillId="8" borderId="12" xfId="4" applyFont="1" applyFill="1" applyBorder="1"/>
    <xf numFmtId="0" fontId="14" fillId="8" borderId="12" xfId="4" applyFont="1" applyFill="1" applyBorder="1"/>
    <xf numFmtId="0" fontId="15" fillId="8" borderId="18" xfId="4" applyFont="1" applyFill="1" applyBorder="1" applyAlignment="1">
      <alignment horizontal="right"/>
    </xf>
    <xf numFmtId="0" fontId="15" fillId="7" borderId="5" xfId="4" applyFont="1" applyFill="1" applyBorder="1" applyAlignment="1">
      <alignment horizontal="center" vertical="center" wrapText="1"/>
    </xf>
    <xf numFmtId="0" fontId="14" fillId="7" borderId="3" xfId="4" applyFont="1" applyFill="1" applyBorder="1" applyAlignment="1">
      <alignment horizontal="left" vertical="center"/>
    </xf>
    <xf numFmtId="0" fontId="14" fillId="7" borderId="11" xfId="4" applyFont="1" applyFill="1" applyBorder="1" applyAlignment="1">
      <alignment horizontal="left" vertical="center"/>
    </xf>
    <xf numFmtId="0" fontId="15" fillId="7" borderId="11" xfId="4" quotePrefix="1" applyFont="1" applyFill="1" applyBorder="1" applyAlignment="1">
      <alignment horizontal="center" vertical="center"/>
    </xf>
    <xf numFmtId="0" fontId="14" fillId="7" borderId="11" xfId="4" applyFont="1" applyFill="1" applyBorder="1" applyAlignment="1">
      <alignment horizontal="right" vertical="center"/>
    </xf>
    <xf numFmtId="0" fontId="15" fillId="7" borderId="4" xfId="4" quotePrefix="1" applyFont="1" applyFill="1" applyBorder="1" applyAlignment="1">
      <alignment horizontal="left" vertical="center"/>
    </xf>
    <xf numFmtId="0" fontId="14" fillId="8" borderId="15" xfId="4" applyFont="1" applyFill="1" applyBorder="1" applyAlignment="1">
      <alignment vertical="center"/>
    </xf>
    <xf numFmtId="0" fontId="14" fillId="8" borderId="2" xfId="4" applyFont="1" applyFill="1" applyBorder="1" applyAlignment="1">
      <alignment vertical="center"/>
    </xf>
    <xf numFmtId="0" fontId="15" fillId="8" borderId="0" xfId="4" applyFont="1" applyFill="1" applyAlignment="1">
      <alignment vertical="center"/>
    </xf>
    <xf numFmtId="0" fontId="14" fillId="10" borderId="26" xfId="4" applyFont="1" applyFill="1" applyBorder="1" applyAlignment="1" applyProtection="1">
      <alignment vertical="center"/>
      <protection locked="0"/>
    </xf>
    <xf numFmtId="0" fontId="14" fillId="0" borderId="27" xfId="4" applyFont="1" applyBorder="1" applyAlignment="1">
      <alignment vertical="center"/>
    </xf>
    <xf numFmtId="0" fontId="14" fillId="8" borderId="26" xfId="4" applyFont="1" applyFill="1" applyBorder="1" applyAlignment="1">
      <alignment vertical="center"/>
    </xf>
    <xf numFmtId="0" fontId="14" fillId="8" borderId="27" xfId="4" applyFont="1" applyFill="1" applyBorder="1" applyAlignment="1">
      <alignment vertical="center"/>
    </xf>
    <xf numFmtId="2" fontId="15" fillId="8" borderId="15" xfId="4" applyNumberFormat="1" applyFont="1" applyFill="1" applyBorder="1" applyAlignment="1">
      <alignment horizontal="left" vertical="center"/>
    </xf>
    <xf numFmtId="2" fontId="15" fillId="8" borderId="16" xfId="4" applyNumberFormat="1" applyFont="1" applyFill="1" applyBorder="1" applyAlignment="1">
      <alignment horizontal="left" vertical="center"/>
    </xf>
    <xf numFmtId="2" fontId="14" fillId="5" borderId="16" xfId="4" applyNumberFormat="1" applyFont="1" applyFill="1" applyBorder="1" applyAlignment="1">
      <alignment horizontal="center" vertical="center"/>
    </xf>
    <xf numFmtId="2" fontId="14" fillId="5" borderId="16" xfId="4" applyNumberFormat="1" applyFont="1" applyFill="1" applyBorder="1" applyAlignment="1">
      <alignment horizontal="left" vertical="center"/>
    </xf>
    <xf numFmtId="2" fontId="14" fillId="5" borderId="16" xfId="4" applyNumberFormat="1" applyFont="1" applyFill="1" applyBorder="1" applyAlignment="1">
      <alignment vertical="center"/>
    </xf>
    <xf numFmtId="3" fontId="14" fillId="8" borderId="16" xfId="4" applyNumberFormat="1" applyFont="1" applyFill="1" applyBorder="1" applyAlignment="1">
      <alignment horizontal="center" vertical="center"/>
    </xf>
    <xf numFmtId="4" fontId="14" fillId="5" borderId="16" xfId="4" applyNumberFormat="1" applyFont="1" applyFill="1" applyBorder="1" applyAlignment="1">
      <alignment horizontal="center" vertical="center"/>
    </xf>
    <xf numFmtId="4" fontId="14" fillId="8" borderId="16" xfId="1" applyNumberFormat="1" applyFont="1" applyFill="1" applyBorder="1" applyAlignment="1">
      <alignment horizontal="center" vertical="center"/>
    </xf>
    <xf numFmtId="167" fontId="14" fillId="8" borderId="16" xfId="1" applyNumberFormat="1" applyFont="1" applyFill="1" applyBorder="1" applyAlignment="1">
      <alignment horizontal="right" vertical="center"/>
    </xf>
    <xf numFmtId="167" fontId="14" fillId="8" borderId="17" xfId="1" applyNumberFormat="1" applyFont="1" applyFill="1" applyBorder="1" applyAlignment="1">
      <alignment horizontal="right" vertical="center"/>
    </xf>
    <xf numFmtId="2" fontId="15" fillId="8" borderId="2" xfId="4" applyNumberFormat="1" applyFont="1" applyFill="1" applyBorder="1" applyAlignment="1">
      <alignment horizontal="left" vertical="center"/>
    </xf>
    <xf numFmtId="2" fontId="15" fillId="8" borderId="0" xfId="4" applyNumberFormat="1" applyFont="1" applyFill="1" applyAlignment="1">
      <alignment horizontal="center" vertical="center"/>
    </xf>
    <xf numFmtId="2" fontId="14" fillId="5" borderId="0" xfId="4" applyNumberFormat="1" applyFont="1" applyFill="1" applyAlignment="1">
      <alignment horizontal="center" vertical="center"/>
    </xf>
    <xf numFmtId="2" fontId="15" fillId="5" borderId="0" xfId="4" applyNumberFormat="1" applyFont="1" applyFill="1" applyAlignment="1">
      <alignment horizontal="left" vertical="center"/>
    </xf>
    <xf numFmtId="2" fontId="14" fillId="5" borderId="0" xfId="4" applyNumberFormat="1" applyFont="1" applyFill="1" applyAlignment="1">
      <alignment vertical="center"/>
    </xf>
    <xf numFmtId="2" fontId="14" fillId="8" borderId="0" xfId="4" applyNumberFormat="1" applyFont="1" applyFill="1" applyAlignment="1">
      <alignment horizontal="center" vertical="center"/>
    </xf>
    <xf numFmtId="3" fontId="14" fillId="8" borderId="0" xfId="4" applyNumberFormat="1" applyFont="1" applyFill="1" applyAlignment="1">
      <alignment horizontal="center" vertical="center"/>
    </xf>
    <xf numFmtId="4" fontId="14" fillId="8" borderId="0" xfId="1" applyNumberFormat="1" applyFont="1" applyFill="1" applyAlignment="1">
      <alignment horizontal="center" vertical="center"/>
    </xf>
    <xf numFmtId="167" fontId="14" fillId="8" borderId="0" xfId="1" applyNumberFormat="1" applyFont="1" applyFill="1" applyAlignment="1">
      <alignment horizontal="right" vertical="center"/>
    </xf>
    <xf numFmtId="167" fontId="14" fillId="8" borderId="14" xfId="1" applyNumberFormat="1" applyFont="1" applyFill="1" applyBorder="1" applyAlignment="1">
      <alignment horizontal="right" vertical="center"/>
    </xf>
    <xf numFmtId="2" fontId="15" fillId="5" borderId="0" xfId="4" applyNumberFormat="1" applyFont="1" applyFill="1" applyAlignment="1">
      <alignment horizontal="center" vertical="center"/>
    </xf>
    <xf numFmtId="1" fontId="39" fillId="5" borderId="0" xfId="4" applyNumberFormat="1" applyFont="1" applyFill="1" applyAlignment="1">
      <alignment horizontal="center" vertical="center"/>
    </xf>
    <xf numFmtId="2" fontId="15" fillId="5" borderId="0" xfId="4" applyNumberFormat="1" applyFont="1" applyFill="1" applyAlignment="1">
      <alignment vertical="center"/>
    </xf>
    <xf numFmtId="0" fontId="14" fillId="5" borderId="0" xfId="4" applyFont="1" applyFill="1" applyAlignment="1">
      <alignment vertical="center"/>
    </xf>
    <xf numFmtId="167" fontId="14" fillId="8" borderId="18" xfId="1" applyNumberFormat="1" applyFont="1" applyFill="1" applyBorder="1" applyAlignment="1">
      <alignment horizontal="right" vertical="center"/>
    </xf>
    <xf numFmtId="2" fontId="15" fillId="8" borderId="23" xfId="4" applyNumberFormat="1" applyFont="1" applyFill="1" applyBorder="1" applyAlignment="1">
      <alignment horizontal="left" vertical="center"/>
    </xf>
    <xf numFmtId="2" fontId="40" fillId="5" borderId="24" xfId="4" applyNumberFormat="1" applyFont="1" applyFill="1" applyBorder="1" applyAlignment="1">
      <alignment horizontal="center" vertical="center"/>
    </xf>
    <xf numFmtId="2" fontId="14" fillId="5" borderId="24" xfId="4" applyNumberFormat="1" applyFont="1" applyFill="1" applyBorder="1" applyAlignment="1">
      <alignment horizontal="center" vertical="center"/>
    </xf>
    <xf numFmtId="1" fontId="39" fillId="5" borderId="24" xfId="4" applyNumberFormat="1" applyFont="1" applyFill="1" applyBorder="1" applyAlignment="1">
      <alignment horizontal="center" vertical="center"/>
    </xf>
    <xf numFmtId="2" fontId="15" fillId="5" borderId="24" xfId="4" applyNumberFormat="1" applyFont="1" applyFill="1" applyBorder="1" applyAlignment="1">
      <alignment vertical="center"/>
    </xf>
    <xf numFmtId="0" fontId="14" fillId="5" borderId="24" xfId="4" applyFont="1" applyFill="1" applyBorder="1" applyAlignment="1">
      <alignment vertical="center"/>
    </xf>
    <xf numFmtId="4" fontId="14" fillId="8" borderId="24" xfId="4" applyNumberFormat="1" applyFont="1" applyFill="1" applyBorder="1" applyAlignment="1">
      <alignment horizontal="center" vertical="center"/>
    </xf>
    <xf numFmtId="4" fontId="14" fillId="8" borderId="24" xfId="1" applyNumberFormat="1" applyFont="1" applyFill="1" applyBorder="1" applyAlignment="1">
      <alignment horizontal="center" vertical="center"/>
    </xf>
    <xf numFmtId="167" fontId="14" fillId="8" borderId="25" xfId="1" applyNumberFormat="1" applyFont="1" applyFill="1" applyBorder="1" applyAlignment="1">
      <alignment horizontal="right" vertical="center"/>
    </xf>
    <xf numFmtId="2" fontId="15" fillId="8" borderId="29" xfId="4" applyNumberFormat="1" applyFont="1" applyFill="1" applyBorder="1" applyAlignment="1">
      <alignment horizontal="right" vertical="center"/>
    </xf>
    <xf numFmtId="2" fontId="15" fillId="8" borderId="30" xfId="4" applyNumberFormat="1" applyFont="1" applyFill="1" applyBorder="1" applyAlignment="1">
      <alignment horizontal="left" vertical="center"/>
    </xf>
    <xf numFmtId="0" fontId="14" fillId="8" borderId="30" xfId="4" applyFont="1" applyFill="1" applyBorder="1" applyAlignment="1">
      <alignment horizontal="center" vertical="center"/>
    </xf>
    <xf numFmtId="2" fontId="14" fillId="10" borderId="21" xfId="4" applyNumberFormat="1" applyFont="1" applyFill="1" applyBorder="1" applyAlignment="1" applyProtection="1">
      <alignment horizontal="center" vertical="center"/>
      <protection locked="0"/>
    </xf>
    <xf numFmtId="3" fontId="14" fillId="10" borderId="21" xfId="4" applyNumberFormat="1" applyFont="1" applyFill="1" applyBorder="1" applyAlignment="1" applyProtection="1">
      <alignment horizontal="center" vertical="center"/>
      <protection locked="0"/>
    </xf>
    <xf numFmtId="2" fontId="14" fillId="10" borderId="31" xfId="4" applyNumberFormat="1" applyFont="1" applyFill="1" applyBorder="1" applyAlignment="1" applyProtection="1">
      <alignment horizontal="center" vertical="center"/>
      <protection locked="0"/>
    </xf>
    <xf numFmtId="4" fontId="14" fillId="8" borderId="21" xfId="1" applyNumberFormat="1" applyFont="1" applyFill="1" applyBorder="1" applyAlignment="1">
      <alignment horizontal="center" vertical="center"/>
    </xf>
    <xf numFmtId="167" fontId="14" fillId="8" borderId="31" xfId="4" applyNumberFormat="1" applyFont="1" applyFill="1" applyBorder="1" applyAlignment="1">
      <alignment horizontal="right" vertical="center"/>
    </xf>
    <xf numFmtId="167" fontId="14" fillId="8" borderId="7" xfId="1" applyNumberFormat="1" applyFont="1" applyFill="1" applyBorder="1" applyAlignment="1">
      <alignment horizontal="right" vertical="center"/>
    </xf>
    <xf numFmtId="2" fontId="15" fillId="8" borderId="2" xfId="4" applyNumberFormat="1" applyFont="1" applyFill="1" applyBorder="1" applyAlignment="1">
      <alignment horizontal="right" vertical="center"/>
    </xf>
    <xf numFmtId="2" fontId="14" fillId="10" borderId="14" xfId="4" applyNumberFormat="1" applyFont="1" applyFill="1" applyBorder="1" applyAlignment="1" applyProtection="1">
      <alignment horizontal="center" vertical="center"/>
      <protection locked="0"/>
    </xf>
    <xf numFmtId="3" fontId="14" fillId="10" borderId="14" xfId="4" applyNumberFormat="1" applyFont="1" applyFill="1" applyBorder="1" applyAlignment="1" applyProtection="1">
      <alignment horizontal="center" vertical="center"/>
      <protection locked="0"/>
    </xf>
    <xf numFmtId="4" fontId="14" fillId="8" borderId="7" xfId="1" applyNumberFormat="1" applyFont="1" applyFill="1" applyBorder="1" applyAlignment="1">
      <alignment horizontal="center" vertical="center"/>
    </xf>
    <xf numFmtId="167" fontId="14" fillId="8" borderId="0" xfId="4" applyNumberFormat="1" applyFont="1" applyFill="1" applyAlignment="1">
      <alignment horizontal="right" vertical="center"/>
    </xf>
    <xf numFmtId="2" fontId="14" fillId="8" borderId="0" xfId="4" applyNumberFormat="1" applyFont="1" applyFill="1" applyAlignment="1">
      <alignment horizontal="left" vertical="center"/>
    </xf>
    <xf numFmtId="2" fontId="14" fillId="8" borderId="14" xfId="4" applyNumberFormat="1" applyFont="1" applyFill="1" applyBorder="1" applyAlignment="1">
      <alignment horizontal="left" vertical="center"/>
    </xf>
    <xf numFmtId="2" fontId="15" fillId="8" borderId="32" xfId="4" applyNumberFormat="1" applyFont="1" applyFill="1" applyBorder="1" applyAlignment="1">
      <alignment horizontal="right" vertical="center"/>
    </xf>
    <xf numFmtId="2" fontId="15" fillId="8" borderId="33" xfId="4" applyNumberFormat="1" applyFont="1" applyFill="1" applyBorder="1" applyAlignment="1">
      <alignment horizontal="left" vertical="center"/>
    </xf>
    <xf numFmtId="0" fontId="14" fillId="8" borderId="33" xfId="4" applyFont="1" applyFill="1" applyBorder="1" applyAlignment="1">
      <alignment horizontal="center" vertical="center"/>
    </xf>
    <xf numFmtId="2" fontId="14" fillId="8" borderId="33" xfId="4" applyNumberFormat="1" applyFont="1" applyFill="1" applyBorder="1" applyAlignment="1">
      <alignment horizontal="justify" vertical="center" wrapText="1"/>
    </xf>
    <xf numFmtId="4" fontId="14" fillId="8" borderId="33" xfId="4" applyNumberFormat="1" applyFont="1" applyFill="1" applyBorder="1" applyAlignment="1">
      <alignment horizontal="center" vertical="center"/>
    </xf>
    <xf numFmtId="3" fontId="14" fillId="8" borderId="33" xfId="4" applyNumberFormat="1" applyFont="1" applyFill="1" applyBorder="1" applyAlignment="1">
      <alignment horizontal="center" vertical="center"/>
    </xf>
    <xf numFmtId="4" fontId="14" fillId="8" borderId="33" xfId="1" applyNumberFormat="1" applyFont="1" applyFill="1" applyBorder="1" applyAlignment="1">
      <alignment horizontal="center" vertical="center"/>
    </xf>
    <xf numFmtId="167" fontId="14" fillId="8" borderId="33" xfId="4" applyNumberFormat="1" applyFont="1" applyFill="1" applyBorder="1" applyAlignment="1">
      <alignment horizontal="right" vertical="center"/>
    </xf>
    <xf numFmtId="167" fontId="14" fillId="8" borderId="34" xfId="1" applyNumberFormat="1" applyFont="1" applyFill="1" applyBorder="1" applyAlignment="1">
      <alignment horizontal="right" vertical="center"/>
    </xf>
    <xf numFmtId="2" fontId="14" fillId="8" borderId="0" xfId="4" applyNumberFormat="1" applyFont="1" applyFill="1" applyAlignment="1">
      <alignment horizontal="justify" vertical="center" wrapText="1"/>
    </xf>
    <xf numFmtId="2" fontId="15" fillId="8" borderId="23" xfId="4" applyNumberFormat="1" applyFont="1" applyFill="1" applyBorder="1" applyAlignment="1">
      <alignment horizontal="right" vertical="center"/>
    </xf>
    <xf numFmtId="2" fontId="40" fillId="8" borderId="24" xfId="4" applyNumberFormat="1" applyFont="1" applyFill="1" applyBorder="1" applyAlignment="1">
      <alignment horizontal="left" vertical="center"/>
    </xf>
    <xf numFmtId="0" fontId="14" fillId="8" borderId="24" xfId="4" applyFont="1" applyFill="1" applyBorder="1" applyAlignment="1">
      <alignment horizontal="center" vertical="center"/>
    </xf>
    <xf numFmtId="2" fontId="14" fillId="8" borderId="24" xfId="4" applyNumberFormat="1" applyFont="1" applyFill="1" applyBorder="1" applyAlignment="1">
      <alignment horizontal="justify" vertical="center" wrapText="1"/>
    </xf>
    <xf numFmtId="167" fontId="14" fillId="8" borderId="24" xfId="4" applyNumberFormat="1" applyFont="1" applyFill="1" applyBorder="1" applyAlignment="1">
      <alignment horizontal="right" vertical="center"/>
    </xf>
    <xf numFmtId="167" fontId="14" fillId="8" borderId="1" xfId="1" applyNumberFormat="1" applyFont="1" applyFill="1" applyBorder="1" applyAlignment="1">
      <alignment horizontal="right" vertical="center"/>
    </xf>
    <xf numFmtId="2" fontId="14" fillId="10" borderId="7" xfId="4" applyNumberFormat="1" applyFont="1" applyFill="1" applyBorder="1" applyAlignment="1" applyProtection="1">
      <alignment horizontal="center" vertical="center"/>
      <protection locked="0"/>
    </xf>
    <xf numFmtId="3" fontId="14" fillId="10" borderId="7" xfId="4" applyNumberFormat="1" applyFont="1" applyFill="1" applyBorder="1" applyAlignment="1" applyProtection="1">
      <alignment horizontal="center" vertical="center"/>
      <protection locked="0"/>
    </xf>
    <xf numFmtId="2" fontId="14" fillId="8" borderId="30" xfId="4" applyNumberFormat="1" applyFont="1" applyFill="1" applyBorder="1" applyAlignment="1">
      <alignment horizontal="justify" vertical="center" wrapText="1"/>
    </xf>
    <xf numFmtId="4" fontId="14" fillId="8" borderId="30" xfId="4" applyNumberFormat="1" applyFont="1" applyFill="1" applyBorder="1" applyAlignment="1">
      <alignment horizontal="center" vertical="center"/>
    </xf>
    <xf numFmtId="4" fontId="14" fillId="8" borderId="30" xfId="1" applyNumberFormat="1" applyFont="1" applyFill="1" applyBorder="1" applyAlignment="1">
      <alignment horizontal="center" vertical="center"/>
    </xf>
    <xf numFmtId="167" fontId="14" fillId="8" borderId="25" xfId="4" applyNumberFormat="1" applyFont="1" applyFill="1" applyBorder="1" applyAlignment="1">
      <alignment horizontal="right" vertical="center"/>
    </xf>
    <xf numFmtId="167" fontId="14" fillId="8" borderId="21" xfId="4" applyNumberFormat="1" applyFont="1" applyFill="1" applyBorder="1" applyAlignment="1">
      <alignment horizontal="center" vertical="center"/>
    </xf>
    <xf numFmtId="167" fontId="14" fillId="8" borderId="7" xfId="4" applyNumberFormat="1" applyFont="1" applyFill="1" applyBorder="1" applyAlignment="1">
      <alignment horizontal="center" vertical="center"/>
    </xf>
    <xf numFmtId="2" fontId="14" fillId="8" borderId="33" xfId="4" applyNumberFormat="1" applyFont="1" applyFill="1" applyBorder="1" applyAlignment="1">
      <alignment horizontal="center" vertical="center"/>
    </xf>
    <xf numFmtId="4" fontId="14" fillId="8" borderId="3" xfId="4" applyNumberFormat="1" applyFont="1" applyFill="1" applyBorder="1" applyAlignment="1">
      <alignment vertical="center"/>
    </xf>
    <xf numFmtId="4" fontId="15" fillId="5" borderId="4" xfId="4" applyNumberFormat="1" applyFont="1" applyFill="1" applyBorder="1" applyAlignment="1">
      <alignment horizontal="right" vertical="center"/>
    </xf>
    <xf numFmtId="167" fontId="15" fillId="8" borderId="1" xfId="1" applyNumberFormat="1" applyFont="1" applyFill="1" applyBorder="1" applyAlignment="1">
      <alignment vertical="center"/>
    </xf>
    <xf numFmtId="0" fontId="14" fillId="5" borderId="16" xfId="4" applyFont="1" applyFill="1" applyBorder="1" applyAlignment="1">
      <alignment vertical="center"/>
    </xf>
    <xf numFmtId="0" fontId="14" fillId="8" borderId="12" xfId="4" applyFont="1" applyFill="1" applyBorder="1" applyAlignment="1">
      <alignment vertical="center"/>
    </xf>
    <xf numFmtId="0" fontId="14" fillId="8" borderId="8" xfId="4" applyFont="1" applyFill="1" applyBorder="1" applyAlignment="1">
      <alignment horizontal="center" vertical="center" wrapText="1"/>
    </xf>
    <xf numFmtId="0" fontId="15" fillId="8" borderId="35" xfId="4" applyFont="1" applyFill="1" applyBorder="1" applyAlignment="1">
      <alignment horizontal="left" vertical="center"/>
    </xf>
    <xf numFmtId="2" fontId="15" fillId="8" borderId="36" xfId="4" applyNumberFormat="1" applyFont="1" applyFill="1" applyBorder="1" applyAlignment="1">
      <alignment horizontal="left" vertical="center"/>
    </xf>
    <xf numFmtId="0" fontId="14" fillId="8" borderId="36" xfId="4" applyFont="1" applyFill="1" applyBorder="1" applyAlignment="1">
      <alignment horizontal="center" vertical="center"/>
    </xf>
    <xf numFmtId="0" fontId="14" fillId="8" borderId="36" xfId="4" applyFont="1" applyFill="1" applyBorder="1" applyAlignment="1">
      <alignment horizontal="left" vertical="center"/>
    </xf>
    <xf numFmtId="0" fontId="14" fillId="8" borderId="36" xfId="4" applyFont="1" applyFill="1" applyBorder="1" applyAlignment="1">
      <alignment vertical="center"/>
    </xf>
    <xf numFmtId="4" fontId="14" fillId="8" borderId="36" xfId="4" applyNumberFormat="1" applyFont="1" applyFill="1" applyBorder="1" applyAlignment="1">
      <alignment horizontal="center" vertical="center"/>
    </xf>
    <xf numFmtId="167" fontId="14" fillId="8" borderId="37" xfId="4" applyNumberFormat="1" applyFont="1" applyFill="1" applyBorder="1" applyAlignment="1">
      <alignment horizontal="center" vertical="center"/>
    </xf>
    <xf numFmtId="167" fontId="14" fillId="8" borderId="1" xfId="1" applyNumberFormat="1" applyFont="1" applyFill="1" applyBorder="1" applyAlignment="1">
      <alignment vertical="center"/>
    </xf>
    <xf numFmtId="0" fontId="15" fillId="8" borderId="29" xfId="4" applyFont="1" applyFill="1" applyBorder="1" applyAlignment="1">
      <alignment horizontal="right" vertical="center"/>
    </xf>
    <xf numFmtId="0" fontId="14" fillId="8" borderId="30" xfId="4" applyFont="1" applyFill="1" applyBorder="1" applyAlignment="1">
      <alignment horizontal="left" vertical="center"/>
    </xf>
    <xf numFmtId="168" fontId="14" fillId="8" borderId="21" xfId="4" applyNumberFormat="1" applyFont="1" applyFill="1" applyBorder="1" applyAlignment="1">
      <alignment vertical="center"/>
    </xf>
    <xf numFmtId="167" fontId="14" fillId="8" borderId="21" xfId="4" applyNumberFormat="1" applyFont="1" applyFill="1" applyBorder="1" applyAlignment="1">
      <alignment horizontal="right" vertical="center"/>
    </xf>
    <xf numFmtId="168" fontId="14" fillId="8" borderId="7" xfId="4" applyNumberFormat="1" applyFont="1" applyFill="1" applyBorder="1" applyAlignment="1">
      <alignment vertical="center"/>
    </xf>
    <xf numFmtId="168" fontId="14" fillId="10" borderId="7" xfId="4" applyNumberFormat="1" applyFont="1" applyFill="1" applyBorder="1" applyAlignment="1" applyProtection="1">
      <alignment vertical="center"/>
      <protection locked="0"/>
    </xf>
    <xf numFmtId="167" fontId="14" fillId="8" borderId="36" xfId="4" applyNumberFormat="1" applyFont="1" applyFill="1" applyBorder="1" applyAlignment="1">
      <alignment horizontal="right" vertical="center"/>
    </xf>
    <xf numFmtId="167" fontId="14" fillId="8" borderId="37" xfId="4" applyNumberFormat="1" applyFont="1" applyFill="1" applyBorder="1" applyAlignment="1">
      <alignment horizontal="right" vertical="center"/>
    </xf>
    <xf numFmtId="164" fontId="14" fillId="8" borderId="16" xfId="1" applyFont="1" applyFill="1" applyBorder="1" applyAlignment="1">
      <alignment vertical="center"/>
    </xf>
    <xf numFmtId="167" fontId="15" fillId="8" borderId="1" xfId="1" applyNumberFormat="1" applyFont="1" applyFill="1" applyBorder="1" applyAlignment="1">
      <alignment horizontal="right" vertical="center"/>
    </xf>
    <xf numFmtId="4" fontId="15" fillId="8" borderId="1" xfId="1" applyNumberFormat="1" applyFont="1" applyFill="1" applyBorder="1" applyAlignment="1">
      <alignment vertical="center"/>
    </xf>
    <xf numFmtId="0" fontId="9" fillId="8" borderId="16" xfId="4" applyFill="1" applyBorder="1" applyAlignment="1">
      <alignment vertical="top" wrapText="1"/>
    </xf>
    <xf numFmtId="0" fontId="9" fillId="8" borderId="17" xfId="4" applyFill="1" applyBorder="1" applyAlignment="1">
      <alignment vertical="top" wrapText="1"/>
    </xf>
    <xf numFmtId="0" fontId="15" fillId="8" borderId="2" xfId="4" applyFont="1" applyFill="1" applyBorder="1" applyAlignment="1">
      <alignment vertical="top"/>
    </xf>
    <xf numFmtId="0" fontId="9" fillId="8" borderId="0" xfId="4" applyFill="1" applyAlignment="1">
      <alignment horizontal="justify" vertical="top" wrapText="1"/>
    </xf>
    <xf numFmtId="0" fontId="9" fillId="8" borderId="14" xfId="4" applyFill="1" applyBorder="1" applyAlignment="1">
      <alignment horizontal="justify" vertical="top" wrapText="1"/>
    </xf>
    <xf numFmtId="0" fontId="15" fillId="8" borderId="0" xfId="4" applyFont="1" applyFill="1" applyAlignment="1">
      <alignment vertical="top"/>
    </xf>
    <xf numFmtId="0" fontId="9" fillId="8" borderId="0" xfId="4" applyFill="1" applyAlignment="1">
      <alignment vertical="top" wrapText="1"/>
    </xf>
    <xf numFmtId="0" fontId="9" fillId="8" borderId="14" xfId="4" applyFill="1" applyBorder="1" applyAlignment="1">
      <alignment vertical="top" wrapText="1"/>
    </xf>
    <xf numFmtId="0" fontId="9" fillId="8" borderId="0" xfId="4" applyFill="1" applyAlignment="1">
      <alignment horizontal="right" vertical="top"/>
    </xf>
    <xf numFmtId="0" fontId="14" fillId="8" borderId="12" xfId="4" applyFont="1" applyFill="1" applyBorder="1" applyAlignment="1">
      <alignment horizontal="right" vertical="top"/>
    </xf>
    <xf numFmtId="0" fontId="14" fillId="8" borderId="12" xfId="4" applyFont="1" applyFill="1" applyBorder="1" applyAlignment="1">
      <alignment vertical="top" wrapText="1"/>
    </xf>
    <xf numFmtId="0" fontId="14" fillId="8" borderId="18" xfId="4" applyFont="1" applyFill="1" applyBorder="1" applyAlignment="1">
      <alignment vertical="top" wrapText="1"/>
    </xf>
    <xf numFmtId="0" fontId="19" fillId="0" borderId="1" xfId="0" quotePrefix="1" applyFont="1" applyBorder="1" applyAlignment="1">
      <alignment horizontal="center" vertical="top"/>
    </xf>
    <xf numFmtId="164" fontId="22" fillId="7" borderId="4" xfId="1" applyFont="1" applyFill="1" applyBorder="1" applyAlignment="1">
      <alignment horizontal="center"/>
    </xf>
    <xf numFmtId="164" fontId="22" fillId="7" borderId="1" xfId="1" applyFont="1" applyFill="1" applyBorder="1" applyAlignment="1">
      <alignment horizontal="center"/>
    </xf>
    <xf numFmtId="0" fontId="22" fillId="3" borderId="11" xfId="0" applyFont="1" applyFill="1" applyBorder="1" applyAlignment="1">
      <alignment vertical="justify"/>
    </xf>
    <xf numFmtId="0" fontId="22" fillId="3" borderId="4" xfId="0" applyFont="1" applyFill="1" applyBorder="1" applyAlignment="1">
      <alignment vertical="justify"/>
    </xf>
    <xf numFmtId="164" fontId="22" fillId="3" borderId="1" xfId="1" applyFont="1" applyFill="1" applyBorder="1" applyAlignment="1">
      <alignment horizontal="right"/>
    </xf>
    <xf numFmtId="0" fontId="22" fillId="6" borderId="11" xfId="0" applyFont="1" applyFill="1" applyBorder="1" applyAlignment="1">
      <alignment vertical="justify"/>
    </xf>
    <xf numFmtId="0" fontId="22" fillId="6" borderId="4" xfId="0" applyFont="1" applyFill="1" applyBorder="1" applyAlignment="1">
      <alignment vertical="justify"/>
    </xf>
    <xf numFmtId="164" fontId="18" fillId="6" borderId="3" xfId="1" applyFont="1" applyFill="1" applyBorder="1" applyAlignment="1">
      <alignment horizontal="center"/>
    </xf>
    <xf numFmtId="164" fontId="18" fillId="6" borderId="4" xfId="1" applyFont="1" applyFill="1" applyBorder="1" applyAlignment="1">
      <alignment horizontal="center"/>
    </xf>
    <xf numFmtId="164" fontId="22" fillId="6" borderId="1" xfId="1" applyFont="1" applyFill="1" applyBorder="1" applyAlignment="1">
      <alignment horizontal="right"/>
    </xf>
    <xf numFmtId="164" fontId="18" fillId="0" borderId="1" xfId="1" applyFont="1" applyBorder="1" applyAlignment="1">
      <alignment horizontal="right"/>
    </xf>
    <xf numFmtId="0" fontId="22" fillId="6" borderId="11" xfId="0" applyFont="1" applyFill="1" applyBorder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justify" vertical="justify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right"/>
    </xf>
    <xf numFmtId="0" fontId="1" fillId="0" borderId="0" xfId="16" applyFont="1"/>
    <xf numFmtId="0" fontId="1" fillId="0" borderId="14" xfId="16" applyFont="1" applyBorder="1"/>
    <xf numFmtId="0" fontId="19" fillId="11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3" borderId="2" xfId="0" applyFont="1" applyFill="1" applyBorder="1" applyAlignment="1">
      <alignment horizontal="center" vertical="top"/>
    </xf>
    <xf numFmtId="0" fontId="23" fillId="3" borderId="0" xfId="0" applyFont="1" applyFill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0" borderId="2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justify"/>
    </xf>
    <xf numFmtId="0" fontId="18" fillId="0" borderId="4" xfId="0" applyFont="1" applyBorder="1" applyAlignment="1">
      <alignment horizontal="left" vertical="justify"/>
    </xf>
    <xf numFmtId="164" fontId="24" fillId="2" borderId="3" xfId="1" applyFont="1" applyFill="1" applyBorder="1" applyAlignment="1">
      <alignment horizontal="right"/>
    </xf>
    <xf numFmtId="164" fontId="24" fillId="2" borderId="11" xfId="1" applyFont="1" applyFill="1" applyBorder="1" applyAlignment="1">
      <alignment horizontal="right"/>
    </xf>
    <xf numFmtId="0" fontId="22" fillId="6" borderId="3" xfId="0" applyFont="1" applyFill="1" applyBorder="1" applyAlignment="1">
      <alignment horizontal="center" vertical="top"/>
    </xf>
    <xf numFmtId="0" fontId="22" fillId="6" borderId="11" xfId="0" applyFont="1" applyFill="1" applyBorder="1" applyAlignment="1">
      <alignment horizontal="center" vertical="top"/>
    </xf>
    <xf numFmtId="0" fontId="22" fillId="6" borderId="4" xfId="0" applyFont="1" applyFill="1" applyBorder="1" applyAlignment="1">
      <alignment horizontal="center" vertical="top"/>
    </xf>
    <xf numFmtId="0" fontId="22" fillId="0" borderId="3" xfId="1" applyNumberFormat="1" applyFont="1" applyBorder="1" applyAlignment="1">
      <alignment horizontal="center"/>
    </xf>
    <xf numFmtId="0" fontId="22" fillId="0" borderId="11" xfId="1" applyNumberFormat="1" applyFont="1" applyBorder="1" applyAlignment="1">
      <alignment horizontal="center"/>
    </xf>
    <xf numFmtId="0" fontId="22" fillId="0" borderId="4" xfId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164" fontId="22" fillId="2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justify"/>
    </xf>
    <xf numFmtId="0" fontId="22" fillId="2" borderId="1" xfId="0" applyFont="1" applyFill="1" applyBorder="1" applyAlignment="1">
      <alignment horizontal="center" vertical="top"/>
    </xf>
    <xf numFmtId="164" fontId="22" fillId="2" borderId="1" xfId="1" applyFont="1" applyFill="1" applyBorder="1" applyAlignment="1">
      <alignment horizontal="center" wrapText="1"/>
    </xf>
    <xf numFmtId="0" fontId="18" fillId="0" borderId="11" xfId="0" applyFont="1" applyBorder="1" applyAlignment="1">
      <alignment horizontal="justify" vertical="center" wrapText="1"/>
    </xf>
    <xf numFmtId="164" fontId="22" fillId="2" borderId="1" xfId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left" vertical="justify"/>
    </xf>
    <xf numFmtId="0" fontId="22" fillId="3" borderId="11" xfId="0" applyFont="1" applyFill="1" applyBorder="1" applyAlignment="1">
      <alignment horizontal="left" vertical="justify"/>
    </xf>
    <xf numFmtId="0" fontId="22" fillId="3" borderId="4" xfId="0" applyFont="1" applyFill="1" applyBorder="1" applyAlignment="1">
      <alignment horizontal="left" vertical="justify"/>
    </xf>
    <xf numFmtId="164" fontId="22" fillId="3" borderId="1" xfId="1" applyFont="1" applyFill="1" applyBorder="1" applyAlignment="1">
      <alignment horizontal="center"/>
    </xf>
    <xf numFmtId="164" fontId="24" fillId="2" borderId="4" xfId="1" applyFont="1" applyFill="1" applyBorder="1" applyAlignment="1">
      <alignment horizontal="right"/>
    </xf>
    <xf numFmtId="0" fontId="18" fillId="0" borderId="11" xfId="0" applyFont="1" applyBorder="1" applyAlignment="1"/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9" fontId="18" fillId="0" borderId="11" xfId="1" applyNumberFormat="1" applyFont="1" applyBorder="1" applyAlignment="1">
      <alignment horizontal="right"/>
    </xf>
    <xf numFmtId="0" fontId="18" fillId="0" borderId="4" xfId="0" applyFont="1" applyBorder="1" applyAlignment="1"/>
    <xf numFmtId="0" fontId="20" fillId="0" borderId="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3" fillId="0" borderId="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0" fillId="0" borderId="3" xfId="0" applyFont="1" applyBorder="1" applyAlignment="1">
      <alignment horizontal="justify" wrapText="1"/>
    </xf>
    <xf numFmtId="0" fontId="20" fillId="0" borderId="11" xfId="0" applyFont="1" applyBorder="1" applyAlignment="1">
      <alignment horizontal="justify" wrapText="1"/>
    </xf>
    <xf numFmtId="0" fontId="20" fillId="0" borderId="4" xfId="0" applyFont="1" applyBorder="1" applyAlignment="1">
      <alignment horizontal="justify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justify" vertical="justify"/>
    </xf>
    <xf numFmtId="0" fontId="0" fillId="0" borderId="0" xfId="0" applyAlignment="1"/>
    <xf numFmtId="0" fontId="0" fillId="0" borderId="0" xfId="0" applyAlignment="1">
      <alignment horizontal="justify" vertical="justify"/>
    </xf>
    <xf numFmtId="49" fontId="0" fillId="0" borderId="0" xfId="0" applyNumberFormat="1" applyAlignment="1">
      <alignment horizontal="justify" vertical="justify"/>
    </xf>
    <xf numFmtId="0" fontId="18" fillId="0" borderId="5" xfId="3" applyFont="1" applyBorder="1" applyAlignment="1">
      <alignment vertical="center" wrapText="1"/>
    </xf>
    <xf numFmtId="0" fontId="18" fillId="0" borderId="8" xfId="3" applyFont="1" applyBorder="1" applyAlignment="1">
      <alignment vertical="center" wrapText="1"/>
    </xf>
    <xf numFmtId="0" fontId="18" fillId="0" borderId="10" xfId="3" applyFont="1" applyBorder="1" applyAlignment="1"/>
    <xf numFmtId="0" fontId="18" fillId="0" borderId="8" xfId="3" applyFont="1" applyBorder="1" applyAlignment="1"/>
    <xf numFmtId="0" fontId="18" fillId="0" borderId="1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/>
    </xf>
    <xf numFmtId="0" fontId="23" fillId="0" borderId="11" xfId="3" applyFont="1" applyBorder="1" applyAlignment="1">
      <alignment horizontal="center"/>
    </xf>
    <xf numFmtId="0" fontId="23" fillId="0" borderId="4" xfId="3" applyFont="1" applyBorder="1" applyAlignment="1">
      <alignment horizontal="center"/>
    </xf>
    <xf numFmtId="0" fontId="23" fillId="3" borderId="2" xfId="3" applyFont="1" applyFill="1" applyBorder="1" applyAlignment="1">
      <alignment horizontal="center"/>
    </xf>
    <xf numFmtId="0" fontId="23" fillId="3" borderId="0" xfId="3" applyFont="1" applyFill="1" applyAlignment="1">
      <alignment horizontal="center"/>
    </xf>
    <xf numFmtId="0" fontId="23" fillId="3" borderId="14" xfId="3" applyFont="1" applyFill="1" applyBorder="1" applyAlignment="1">
      <alignment horizontal="center"/>
    </xf>
    <xf numFmtId="0" fontId="18" fillId="0" borderId="7" xfId="3" applyFont="1" applyBorder="1" applyAlignment="1">
      <alignment horizontal="center" vertical="center"/>
    </xf>
    <xf numFmtId="0" fontId="18" fillId="0" borderId="7" xfId="3" applyFont="1" applyBorder="1" applyAlignment="1">
      <alignment vertical="center"/>
    </xf>
    <xf numFmtId="0" fontId="18" fillId="0" borderId="8" xfId="3" applyFont="1" applyBorder="1" applyAlignment="1">
      <alignment vertical="center"/>
    </xf>
    <xf numFmtId="0" fontId="18" fillId="0" borderId="11" xfId="3" applyFont="1" applyBorder="1" applyAlignment="1">
      <alignment horizontal="left"/>
    </xf>
    <xf numFmtId="0" fontId="18" fillId="0" borderId="4" xfId="3" applyFont="1" applyBorder="1" applyAlignment="1">
      <alignment horizontal="left"/>
    </xf>
    <xf numFmtId="0" fontId="18" fillId="0" borderId="11" xfId="3" applyFont="1" applyBorder="1" applyAlignment="1">
      <alignment horizontal="left" vertical="justify"/>
    </xf>
    <xf numFmtId="0" fontId="18" fillId="0" borderId="4" xfId="0" applyFont="1" applyBorder="1" applyAlignment="1">
      <alignment horizontal="left"/>
    </xf>
    <xf numFmtId="0" fontId="26" fillId="0" borderId="15" xfId="3" applyFont="1" applyBorder="1" applyAlignment="1">
      <alignment horizontal="center"/>
    </xf>
    <xf numFmtId="0" fontId="26" fillId="0" borderId="16" xfId="3" applyFont="1" applyBorder="1" applyAlignment="1">
      <alignment horizontal="center"/>
    </xf>
    <xf numFmtId="0" fontId="26" fillId="0" borderId="17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27" fillId="0" borderId="0" xfId="3" applyFont="1" applyAlignment="1">
      <alignment horizontal="center"/>
    </xf>
    <xf numFmtId="0" fontId="27" fillId="0" borderId="14" xfId="3" applyFont="1" applyBorder="1" applyAlignment="1">
      <alignment horizontal="center"/>
    </xf>
    <xf numFmtId="0" fontId="27" fillId="0" borderId="13" xfId="3" applyFont="1" applyBorder="1" applyAlignment="1">
      <alignment horizontal="center"/>
    </xf>
    <xf numFmtId="0" fontId="27" fillId="0" borderId="12" xfId="3" applyFont="1" applyBorder="1" applyAlignment="1">
      <alignment horizontal="center"/>
    </xf>
    <xf numFmtId="0" fontId="27" fillId="0" borderId="18" xfId="3" applyFont="1" applyBorder="1" applyAlignment="1">
      <alignment horizontal="center"/>
    </xf>
    <xf numFmtId="0" fontId="25" fillId="0" borderId="13" xfId="15" applyFont="1" applyBorder="1" applyAlignment="1">
      <alignment horizontal="left" vertical="top" wrapText="1"/>
    </xf>
    <xf numFmtId="0" fontId="25" fillId="0" borderId="12" xfId="15" applyFont="1" applyBorder="1" applyAlignment="1">
      <alignment horizontal="left" vertical="top" wrapText="1"/>
    </xf>
    <xf numFmtId="0" fontId="25" fillId="0" borderId="18" xfId="15" applyFont="1" applyBorder="1" applyAlignment="1">
      <alignment horizontal="left" vertical="top" wrapText="1"/>
    </xf>
    <xf numFmtId="0" fontId="28" fillId="3" borderId="2" xfId="15" applyFont="1" applyFill="1" applyBorder="1" applyAlignment="1">
      <alignment horizontal="center"/>
    </xf>
    <xf numFmtId="0" fontId="28" fillId="3" borderId="0" xfId="15" applyFont="1" applyFill="1" applyAlignment="1">
      <alignment horizontal="center"/>
    </xf>
    <xf numFmtId="0" fontId="28" fillId="3" borderId="14" xfId="15" applyFont="1" applyFill="1" applyBorder="1" applyAlignment="1">
      <alignment horizontal="center"/>
    </xf>
    <xf numFmtId="0" fontId="33" fillId="0" borderId="13" xfId="4" applyFont="1" applyBorder="1" applyAlignment="1">
      <alignment horizontal="left" vertical="distributed"/>
    </xf>
    <xf numFmtId="0" fontId="33" fillId="0" borderId="12" xfId="4" applyFont="1" applyBorder="1" applyAlignment="1">
      <alignment horizontal="left" vertical="distributed"/>
    </xf>
    <xf numFmtId="0" fontId="33" fillId="0" borderId="18" xfId="4" applyFont="1" applyBorder="1" applyAlignment="1">
      <alignment horizontal="left" vertical="distributed"/>
    </xf>
    <xf numFmtId="0" fontId="28" fillId="0" borderId="3" xfId="15" applyFont="1" applyBorder="1" applyAlignment="1">
      <alignment horizontal="center"/>
    </xf>
    <xf numFmtId="0" fontId="28" fillId="0" borderId="11" xfId="15" applyFont="1" applyBorder="1" applyAlignment="1">
      <alignment horizontal="center"/>
    </xf>
    <xf numFmtId="0" fontId="28" fillId="0" borderId="4" xfId="15" applyFont="1" applyBorder="1" applyAlignment="1">
      <alignment horizontal="center"/>
    </xf>
    <xf numFmtId="0" fontId="25" fillId="0" borderId="11" xfId="15" applyFont="1" applyBorder="1" applyAlignment="1">
      <alignment horizontal="justify" vertical="top" wrapText="1"/>
    </xf>
    <xf numFmtId="0" fontId="25" fillId="0" borderId="4" xfId="15" applyFont="1" applyBorder="1" applyAlignment="1">
      <alignment horizontal="justify" vertical="top" wrapText="1"/>
    </xf>
    <xf numFmtId="0" fontId="28" fillId="3" borderId="3" xfId="16" applyFont="1" applyFill="1" applyBorder="1" applyAlignment="1">
      <alignment horizontal="center"/>
    </xf>
    <xf numFmtId="0" fontId="28" fillId="3" borderId="11" xfId="16" applyFont="1" applyFill="1" applyBorder="1" applyAlignment="1">
      <alignment horizontal="center"/>
    </xf>
    <xf numFmtId="0" fontId="28" fillId="3" borderId="4" xfId="16" applyFont="1" applyFill="1" applyBorder="1" applyAlignment="1">
      <alignment horizontal="center"/>
    </xf>
    <xf numFmtId="0" fontId="30" fillId="0" borderId="2" xfId="15" applyFont="1" applyBorder="1" applyAlignment="1">
      <alignment horizontal="center"/>
    </xf>
    <xf numFmtId="0" fontId="30" fillId="0" borderId="0" xfId="15" applyFont="1" applyAlignment="1">
      <alignment horizontal="center"/>
    </xf>
    <xf numFmtId="0" fontId="30" fillId="0" borderId="14" xfId="15" applyFont="1" applyBorder="1" applyAlignment="1">
      <alignment horizontal="center"/>
    </xf>
    <xf numFmtId="0" fontId="30" fillId="0" borderId="13" xfId="15" applyFont="1" applyBorder="1" applyAlignment="1">
      <alignment horizontal="center"/>
    </xf>
    <xf numFmtId="0" fontId="30" fillId="0" borderId="12" xfId="15" applyFont="1" applyBorder="1" applyAlignment="1">
      <alignment horizontal="center"/>
    </xf>
    <xf numFmtId="0" fontId="30" fillId="0" borderId="18" xfId="15" applyFont="1" applyBorder="1" applyAlignment="1">
      <alignment horizontal="center"/>
    </xf>
    <xf numFmtId="0" fontId="32" fillId="0" borderId="3" xfId="16" applyFont="1" applyBorder="1" applyAlignment="1">
      <alignment horizontal="center"/>
    </xf>
    <xf numFmtId="0" fontId="32" fillId="0" borderId="11" xfId="16" applyFont="1" applyBorder="1" applyAlignment="1">
      <alignment horizontal="center"/>
    </xf>
    <xf numFmtId="0" fontId="32" fillId="0" borderId="4" xfId="16" applyFont="1" applyBorder="1" applyAlignment="1">
      <alignment horizontal="center"/>
    </xf>
    <xf numFmtId="0" fontId="25" fillId="0" borderId="15" xfId="16" applyFont="1" applyBorder="1" applyAlignment="1">
      <alignment horizontal="left"/>
    </xf>
    <xf numFmtId="0" fontId="25" fillId="0" borderId="16" xfId="16" applyFont="1" applyBorder="1" applyAlignment="1">
      <alignment horizontal="left"/>
    </xf>
    <xf numFmtId="0" fontId="5" fillId="0" borderId="0" xfId="16" applyAlignment="1"/>
    <xf numFmtId="0" fontId="28" fillId="0" borderId="3" xfId="16" applyFont="1" applyBorder="1" applyAlignment="1">
      <alignment horizontal="center"/>
    </xf>
    <xf numFmtId="0" fontId="28" fillId="0" borderId="11" xfId="16" applyFont="1" applyBorder="1" applyAlignment="1">
      <alignment horizontal="center"/>
    </xf>
    <xf numFmtId="0" fontId="28" fillId="0" borderId="4" xfId="16" applyFont="1" applyBorder="1" applyAlignment="1">
      <alignment horizontal="center"/>
    </xf>
    <xf numFmtId="0" fontId="28" fillId="3" borderId="2" xfId="16" applyFont="1" applyFill="1" applyBorder="1" applyAlignment="1">
      <alignment horizontal="center"/>
    </xf>
    <xf numFmtId="0" fontId="28" fillId="3" borderId="0" xfId="16" applyFont="1" applyFill="1" applyAlignment="1">
      <alignment horizontal="center"/>
    </xf>
    <xf numFmtId="0" fontId="28" fillId="3" borderId="14" xfId="16" applyFont="1" applyFill="1" applyBorder="1" applyAlignment="1">
      <alignment horizontal="center"/>
    </xf>
    <xf numFmtId="0" fontId="25" fillId="0" borderId="11" xfId="16" applyFont="1" applyBorder="1" applyAlignment="1">
      <alignment horizontal="justify" vertical="center" wrapText="1"/>
    </xf>
    <xf numFmtId="0" fontId="25" fillId="0" borderId="4" xfId="16" applyFont="1" applyBorder="1" applyAlignment="1">
      <alignment horizontal="justify" vertical="center" wrapText="1"/>
    </xf>
    <xf numFmtId="0" fontId="29" fillId="0" borderId="3" xfId="16" applyFont="1" applyBorder="1" applyAlignment="1">
      <alignment horizontal="justify" vertical="center"/>
    </xf>
    <xf numFmtId="0" fontId="29" fillId="0" borderId="11" xfId="16" applyFont="1" applyBorder="1" applyAlignment="1">
      <alignment horizontal="justify" vertical="center"/>
    </xf>
    <xf numFmtId="0" fontId="29" fillId="0" borderId="4" xfId="16" applyFont="1" applyBorder="1" applyAlignment="1">
      <alignment horizontal="justify" vertical="center"/>
    </xf>
    <xf numFmtId="0" fontId="30" fillId="0" borderId="2" xfId="16" applyFont="1" applyBorder="1" applyAlignment="1">
      <alignment horizontal="center"/>
    </xf>
    <xf numFmtId="0" fontId="30" fillId="0" borderId="0" xfId="16" applyFont="1" applyAlignment="1">
      <alignment horizontal="center"/>
    </xf>
    <xf numFmtId="0" fontId="30" fillId="0" borderId="14" xfId="16" applyFont="1" applyBorder="1" applyAlignment="1">
      <alignment horizontal="center"/>
    </xf>
    <xf numFmtId="0" fontId="30" fillId="0" borderId="13" xfId="16" applyFont="1" applyBorder="1" applyAlignment="1">
      <alignment horizontal="center"/>
    </xf>
    <xf numFmtId="0" fontId="30" fillId="0" borderId="12" xfId="16" applyFont="1" applyBorder="1" applyAlignment="1">
      <alignment horizontal="center"/>
    </xf>
    <xf numFmtId="0" fontId="30" fillId="0" borderId="18" xfId="16" applyFont="1" applyBorder="1" applyAlignment="1">
      <alignment horizontal="center"/>
    </xf>
    <xf numFmtId="0" fontId="29" fillId="0" borderId="15" xfId="16" applyFont="1" applyBorder="1" applyAlignment="1">
      <alignment horizontal="center"/>
    </xf>
    <xf numFmtId="0" fontId="29" fillId="0" borderId="16" xfId="16" applyFont="1" applyBorder="1" applyAlignment="1">
      <alignment horizontal="center"/>
    </xf>
    <xf numFmtId="0" fontId="29" fillId="0" borderId="17" xfId="16" applyFont="1" applyBorder="1" applyAlignment="1">
      <alignment horizontal="center"/>
    </xf>
    <xf numFmtId="0" fontId="15" fillId="8" borderId="15" xfId="4" applyFont="1" applyFill="1" applyBorder="1" applyAlignment="1">
      <alignment horizontal="center" vertical="center"/>
    </xf>
    <xf numFmtId="0" fontId="15" fillId="8" borderId="16" xfId="4" applyFont="1" applyFill="1" applyBorder="1" applyAlignment="1">
      <alignment horizontal="center" vertical="center"/>
    </xf>
    <xf numFmtId="0" fontId="15" fillId="8" borderId="17" xfId="4" applyFont="1" applyFill="1" applyBorder="1" applyAlignment="1">
      <alignment horizontal="center" vertical="center"/>
    </xf>
    <xf numFmtId="0" fontId="15" fillId="8" borderId="13" xfId="4" applyFont="1" applyFill="1" applyBorder="1" applyAlignment="1">
      <alignment horizontal="center" vertical="center"/>
    </xf>
    <xf numFmtId="0" fontId="15" fillId="8" borderId="12" xfId="4" applyFont="1" applyFill="1" applyBorder="1" applyAlignment="1">
      <alignment horizontal="center" vertical="center"/>
    </xf>
    <xf numFmtId="0" fontId="15" fillId="8" borderId="18" xfId="4" applyFont="1" applyFill="1" applyBorder="1" applyAlignment="1">
      <alignment horizontal="center" vertical="center"/>
    </xf>
    <xf numFmtId="49" fontId="15" fillId="9" borderId="7" xfId="4" applyNumberFormat="1" applyFont="1" applyFill="1" applyBorder="1" applyAlignment="1">
      <alignment horizontal="center" vertical="center" wrapText="1"/>
    </xf>
    <xf numFmtId="0" fontId="15" fillId="9" borderId="11" xfId="4" applyFont="1" applyFill="1" applyBorder="1" applyAlignment="1">
      <alignment horizontal="justify" vertical="center"/>
    </xf>
    <xf numFmtId="0" fontId="15" fillId="9" borderId="4" xfId="4" applyFont="1" applyFill="1" applyBorder="1" applyAlignment="1">
      <alignment horizontal="justify" vertical="center"/>
    </xf>
    <xf numFmtId="0" fontId="14" fillId="8" borderId="15" xfId="4" applyFont="1" applyFill="1" applyBorder="1" applyAlignment="1">
      <alignment horizontal="left" vertical="center"/>
    </xf>
    <xf numFmtId="0" fontId="14" fillId="8" borderId="16" xfId="4" applyFont="1" applyFill="1" applyBorder="1" applyAlignment="1">
      <alignment horizontal="left" vertical="center"/>
    </xf>
    <xf numFmtId="0" fontId="14" fillId="8" borderId="17" xfId="4" applyFont="1" applyFill="1" applyBorder="1" applyAlignment="1">
      <alignment horizontal="left" vertical="center"/>
    </xf>
    <xf numFmtId="0" fontId="14" fillId="8" borderId="2" xfId="4" applyFont="1" applyFill="1" applyBorder="1" applyAlignment="1">
      <alignment horizontal="left" vertical="center"/>
    </xf>
    <xf numFmtId="0" fontId="14" fillId="5" borderId="0" xfId="4" applyFont="1" applyFill="1" applyAlignment="1">
      <alignment horizontal="left" vertical="center"/>
    </xf>
    <xf numFmtId="0" fontId="14" fillId="8" borderId="14" xfId="4" applyFont="1" applyFill="1" applyBorder="1" applyAlignment="1">
      <alignment horizontal="left" vertical="center"/>
    </xf>
    <xf numFmtId="0" fontId="14" fillId="5" borderId="5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4" fillId="5" borderId="3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/>
    </xf>
    <xf numFmtId="0" fontId="14" fillId="10" borderId="0" xfId="4" applyFont="1" applyFill="1" applyAlignment="1" applyProtection="1">
      <alignment horizontal="justify" vertical="center"/>
      <protection locked="0"/>
    </xf>
    <xf numFmtId="0" fontId="14" fillId="10" borderId="14" xfId="4" applyFont="1" applyFill="1" applyBorder="1" applyAlignment="1" applyProtection="1">
      <alignment horizontal="justify" vertical="center"/>
      <protection locked="0"/>
    </xf>
    <xf numFmtId="166" fontId="14" fillId="10" borderId="2" xfId="4" applyNumberFormat="1" applyFont="1" applyFill="1" applyBorder="1" applyAlignment="1" applyProtection="1">
      <alignment horizontal="center" vertical="center"/>
      <protection locked="0"/>
    </xf>
    <xf numFmtId="166" fontId="14" fillId="10" borderId="14" xfId="4" applyNumberFormat="1" applyFont="1" applyFill="1" applyBorder="1" applyAlignment="1" applyProtection="1">
      <alignment horizontal="center" vertical="center"/>
      <protection locked="0"/>
    </xf>
    <xf numFmtId="4" fontId="14" fillId="8" borderId="3" xfId="4" applyNumberFormat="1" applyFont="1" applyFill="1" applyBorder="1" applyAlignment="1">
      <alignment horizontal="right" vertical="center"/>
    </xf>
    <xf numFmtId="4" fontId="14" fillId="5" borderId="11" xfId="4" applyNumberFormat="1" applyFont="1" applyFill="1" applyBorder="1" applyAlignment="1">
      <alignment horizontal="right" vertical="center"/>
    </xf>
    <xf numFmtId="4" fontId="14" fillId="5" borderId="4" xfId="4" applyNumberFormat="1" applyFont="1" applyFill="1" applyBorder="1" applyAlignment="1">
      <alignment horizontal="right" vertical="center"/>
    </xf>
    <xf numFmtId="0" fontId="14" fillId="8" borderId="13" xfId="4" applyFont="1" applyFill="1" applyBorder="1" applyAlignment="1">
      <alignment horizontal="left" vertical="center"/>
    </xf>
    <xf numFmtId="0" fontId="14" fillId="5" borderId="12" xfId="4" applyFont="1" applyFill="1" applyBorder="1" applyAlignment="1">
      <alignment horizontal="left" vertical="center"/>
    </xf>
    <xf numFmtId="0" fontId="14" fillId="8" borderId="18" xfId="4" applyFont="1" applyFill="1" applyBorder="1" applyAlignment="1">
      <alignment horizontal="left" vertical="center"/>
    </xf>
    <xf numFmtId="0" fontId="14" fillId="5" borderId="5" xfId="4" applyFont="1" applyFill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 wrapText="1"/>
    </xf>
    <xf numFmtId="0" fontId="14" fillId="5" borderId="3" xfId="4" applyFont="1" applyFill="1" applyBorder="1" applyAlignment="1">
      <alignment horizontal="left" vertical="center"/>
    </xf>
    <xf numFmtId="0" fontId="14" fillId="5" borderId="11" xfId="4" applyFont="1" applyFill="1" applyBorder="1" applyAlignment="1">
      <alignment horizontal="left" vertical="center"/>
    </xf>
    <xf numFmtId="0" fontId="14" fillId="5" borderId="4" xfId="4" applyFont="1" applyFill="1" applyBorder="1" applyAlignment="1">
      <alignment horizontal="left" vertical="center"/>
    </xf>
    <xf numFmtId="0" fontId="15" fillId="8" borderId="3" xfId="4" applyFont="1" applyFill="1" applyBorder="1" applyAlignment="1">
      <alignment horizontal="right" vertical="center"/>
    </xf>
    <xf numFmtId="0" fontId="15" fillId="8" borderId="11" xfId="4" applyFont="1" applyFill="1" applyBorder="1" applyAlignment="1">
      <alignment horizontal="right" vertical="center"/>
    </xf>
    <xf numFmtId="0" fontId="15" fillId="8" borderId="4" xfId="4" applyFont="1" applyFill="1" applyBorder="1" applyAlignment="1">
      <alignment horizontal="right" vertical="center"/>
    </xf>
    <xf numFmtId="0" fontId="14" fillId="8" borderId="15" xfId="4" applyFont="1" applyFill="1" applyBorder="1" applyAlignment="1">
      <alignment horizontal="center" vertical="center"/>
    </xf>
    <xf numFmtId="0" fontId="14" fillId="8" borderId="17" xfId="4" applyFont="1" applyFill="1" applyBorder="1" applyAlignment="1">
      <alignment horizontal="center" vertical="center"/>
    </xf>
    <xf numFmtId="0" fontId="14" fillId="8" borderId="13" xfId="4" applyFont="1" applyFill="1" applyBorder="1" applyAlignment="1">
      <alignment horizontal="center" vertical="center"/>
    </xf>
    <xf numFmtId="0" fontId="14" fillId="8" borderId="18" xfId="4" applyFont="1" applyFill="1" applyBorder="1" applyAlignment="1">
      <alignment horizontal="center" vertical="center"/>
    </xf>
    <xf numFmtId="4" fontId="15" fillId="8" borderId="3" xfId="4" applyNumberFormat="1" applyFont="1" applyFill="1" applyBorder="1" applyAlignment="1">
      <alignment horizontal="right" vertical="center"/>
    </xf>
    <xf numFmtId="4" fontId="15" fillId="8" borderId="11" xfId="4" applyNumberFormat="1" applyFont="1" applyFill="1" applyBorder="1" applyAlignment="1">
      <alignment horizontal="right" vertical="center"/>
    </xf>
    <xf numFmtId="4" fontId="15" fillId="5" borderId="4" xfId="4" applyNumberFormat="1" applyFont="1" applyFill="1" applyBorder="1" applyAlignment="1">
      <alignment horizontal="right" vertical="center"/>
    </xf>
    <xf numFmtId="0" fontId="14" fillId="5" borderId="7" xfId="4" applyFont="1" applyFill="1" applyBorder="1" applyAlignment="1">
      <alignment horizontal="center" vertical="center" wrapText="1"/>
    </xf>
    <xf numFmtId="0" fontId="14" fillId="8" borderId="16" xfId="4" applyFont="1" applyFill="1" applyBorder="1" applyAlignment="1">
      <alignment horizontal="justify" vertical="center" wrapText="1"/>
    </xf>
    <xf numFmtId="0" fontId="14" fillId="8" borderId="17" xfId="4" applyFont="1" applyFill="1" applyBorder="1" applyAlignment="1">
      <alignment horizontal="justify" vertical="center" wrapText="1"/>
    </xf>
    <xf numFmtId="0" fontId="14" fillId="5" borderId="7" xfId="4" applyFont="1" applyFill="1" applyBorder="1" applyAlignment="1">
      <alignment horizontal="center" vertical="center"/>
    </xf>
    <xf numFmtId="0" fontId="15" fillId="5" borderId="15" xfId="4" applyFont="1" applyFill="1" applyBorder="1" applyAlignment="1">
      <alignment horizontal="right" vertical="center"/>
    </xf>
    <xf numFmtId="0" fontId="15" fillId="8" borderId="23" xfId="4" applyFont="1" applyFill="1" applyBorder="1" applyAlignment="1">
      <alignment horizontal="right" vertical="center"/>
    </xf>
    <xf numFmtId="2" fontId="15" fillId="8" borderId="16" xfId="4" applyNumberFormat="1" applyFont="1" applyFill="1" applyBorder="1" applyAlignment="1">
      <alignment horizontal="left" vertical="center"/>
    </xf>
    <xf numFmtId="2" fontId="15" fillId="8" borderId="24" xfId="4" applyNumberFormat="1" applyFont="1" applyFill="1" applyBorder="1" applyAlignment="1">
      <alignment horizontal="left" vertical="center"/>
    </xf>
    <xf numFmtId="0" fontId="14" fillId="5" borderId="16" xfId="4" applyFont="1" applyFill="1" applyBorder="1" applyAlignment="1">
      <alignment horizontal="center" vertical="center"/>
    </xf>
    <xf numFmtId="0" fontId="14" fillId="5" borderId="24" xfId="4" applyFont="1" applyFill="1" applyBorder="1" applyAlignment="1">
      <alignment horizontal="center" vertical="center"/>
    </xf>
    <xf numFmtId="0" fontId="14" fillId="5" borderId="16" xfId="4" applyFont="1" applyFill="1" applyBorder="1" applyAlignment="1">
      <alignment horizontal="left" vertical="center" wrapText="1"/>
    </xf>
    <xf numFmtId="0" fontId="14" fillId="5" borderId="24" xfId="4" applyFont="1" applyFill="1" applyBorder="1" applyAlignment="1">
      <alignment horizontal="left" vertical="center" wrapText="1"/>
    </xf>
    <xf numFmtId="0" fontId="14" fillId="8" borderId="25" xfId="4" applyFont="1" applyFill="1" applyBorder="1" applyAlignment="1">
      <alignment horizontal="justify" vertical="center" wrapText="1"/>
    </xf>
    <xf numFmtId="166" fontId="14" fillId="5" borderId="5" xfId="4" applyNumberFormat="1" applyFont="1" applyFill="1" applyBorder="1" applyAlignment="1">
      <alignment horizontal="center" vertical="center"/>
    </xf>
    <xf numFmtId="166" fontId="14" fillId="8" borderId="19" xfId="4" applyNumberFormat="1" applyFont="1" applyFill="1" applyBorder="1" applyAlignment="1">
      <alignment horizontal="center" vertical="center"/>
    </xf>
    <xf numFmtId="167" fontId="14" fillId="5" borderId="5" xfId="1" applyNumberFormat="1" applyFont="1" applyFill="1" applyBorder="1" applyAlignment="1" applyProtection="1">
      <alignment horizontal="right" vertical="center"/>
    </xf>
    <xf numFmtId="167" fontId="14" fillId="8" borderId="19" xfId="1" applyNumberFormat="1" applyFont="1" applyFill="1" applyBorder="1" applyAlignment="1" applyProtection="1">
      <alignment horizontal="right" vertical="center"/>
    </xf>
    <xf numFmtId="0" fontId="14" fillId="8" borderId="15" xfId="4" applyFont="1" applyFill="1" applyBorder="1" applyAlignment="1">
      <alignment horizontal="left"/>
    </xf>
    <xf numFmtId="0" fontId="14" fillId="8" borderId="16" xfId="4" applyFont="1" applyFill="1" applyBorder="1" applyAlignment="1">
      <alignment horizontal="left"/>
    </xf>
    <xf numFmtId="0" fontId="14" fillId="8" borderId="17" xfId="4" applyFont="1" applyFill="1" applyBorder="1" applyAlignment="1">
      <alignment horizontal="left"/>
    </xf>
    <xf numFmtId="0" fontId="14" fillId="8" borderId="2" xfId="4" applyFont="1" applyFill="1" applyBorder="1" applyAlignment="1">
      <alignment horizontal="center"/>
    </xf>
    <xf numFmtId="0" fontId="14" fillId="5" borderId="0" xfId="4" applyFont="1" applyFill="1" applyAlignment="1">
      <alignment horizontal="center"/>
    </xf>
    <xf numFmtId="49" fontId="15" fillId="7" borderId="7" xfId="4" applyNumberFormat="1" applyFont="1" applyFill="1" applyBorder="1" applyAlignment="1">
      <alignment horizontal="center" vertical="center" wrapText="1"/>
    </xf>
    <xf numFmtId="0" fontId="15" fillId="7" borderId="11" xfId="4" applyFont="1" applyFill="1" applyBorder="1" applyAlignment="1">
      <alignment horizontal="justify" vertical="center"/>
    </xf>
    <xf numFmtId="0" fontId="15" fillId="7" borderId="4" xfId="4" applyFont="1" applyFill="1" applyBorder="1" applyAlignment="1">
      <alignment horizontal="justify" vertical="center"/>
    </xf>
    <xf numFmtId="0" fontId="14" fillId="8" borderId="28" xfId="4" applyFont="1" applyFill="1" applyBorder="1" applyAlignment="1">
      <alignment horizontal="right" vertical="center"/>
    </xf>
    <xf numFmtId="0" fontId="14" fillId="8" borderId="26" xfId="4" applyFont="1" applyFill="1" applyBorder="1" applyAlignment="1">
      <alignment horizontal="center" vertical="center"/>
    </xf>
    <xf numFmtId="0" fontId="14" fillId="8" borderId="27" xfId="4" applyFont="1" applyFill="1" applyBorder="1" applyAlignment="1">
      <alignment horizontal="center" vertical="center"/>
    </xf>
    <xf numFmtId="0" fontId="15" fillId="8" borderId="26" xfId="4" applyFont="1" applyFill="1" applyBorder="1" applyAlignment="1">
      <alignment horizontal="center" vertical="center"/>
    </xf>
    <xf numFmtId="0" fontId="15" fillId="8" borderId="27" xfId="4" applyFont="1" applyFill="1" applyBorder="1" applyAlignment="1">
      <alignment horizontal="center" vertical="center"/>
    </xf>
    <xf numFmtId="0" fontId="15" fillId="8" borderId="28" xfId="4" applyFont="1" applyFill="1" applyBorder="1" applyAlignment="1">
      <alignment horizontal="center" vertical="center"/>
    </xf>
    <xf numFmtId="0" fontId="15" fillId="5" borderId="0" xfId="4" applyFont="1" applyFill="1" applyAlignment="1">
      <alignment horizontal="center" vertical="center"/>
    </xf>
    <xf numFmtId="2" fontId="14" fillId="8" borderId="0" xfId="4" applyNumberFormat="1" applyFont="1" applyFill="1" applyAlignment="1">
      <alignment horizontal="justify" vertical="center" wrapText="1"/>
    </xf>
    <xf numFmtId="2" fontId="14" fillId="8" borderId="14" xfId="4" applyNumberFormat="1" applyFont="1" applyFill="1" applyBorder="1" applyAlignment="1">
      <alignment horizontal="justify" vertical="center" wrapText="1"/>
    </xf>
    <xf numFmtId="167" fontId="14" fillId="5" borderId="5" xfId="1" applyNumberFormat="1" applyFont="1" applyFill="1" applyBorder="1" applyAlignment="1">
      <alignment horizontal="right" vertical="center"/>
    </xf>
    <xf numFmtId="167" fontId="14" fillId="5" borderId="8" xfId="1" applyNumberFormat="1" applyFont="1" applyFill="1" applyBorder="1" applyAlignment="1">
      <alignment horizontal="right" vertical="center"/>
    </xf>
    <xf numFmtId="2" fontId="14" fillId="8" borderId="30" xfId="4" applyNumberFormat="1" applyFont="1" applyFill="1" applyBorder="1" applyAlignment="1">
      <alignment horizontal="justify" vertical="center" wrapText="1"/>
    </xf>
    <xf numFmtId="2" fontId="14" fillId="8" borderId="31" xfId="4" applyNumberFormat="1" applyFont="1" applyFill="1" applyBorder="1" applyAlignment="1">
      <alignment horizontal="justify" vertical="center" wrapText="1"/>
    </xf>
    <xf numFmtId="0" fontId="14" fillId="8" borderId="30" xfId="4" applyFont="1" applyFill="1" applyBorder="1" applyAlignment="1">
      <alignment horizontal="justify" vertical="center"/>
    </xf>
    <xf numFmtId="0" fontId="14" fillId="8" borderId="31" xfId="4" applyFont="1" applyFill="1" applyBorder="1" applyAlignment="1">
      <alignment horizontal="justify" vertical="center"/>
    </xf>
    <xf numFmtId="0" fontId="9" fillId="8" borderId="0" xfId="4" applyFill="1" applyAlignment="1">
      <alignment horizontal="justify" vertical="top" wrapText="1"/>
    </xf>
    <xf numFmtId="0" fontId="9" fillId="8" borderId="14" xfId="4" applyFill="1" applyBorder="1" applyAlignment="1">
      <alignment horizontal="justify" vertical="top" wrapText="1"/>
    </xf>
  </cellXfs>
  <cellStyles count="46">
    <cellStyle name="Normal" xfId="0" builtinId="0"/>
    <cellStyle name="Normal 11" xfId="19" xr:uid="{00000000-0005-0000-0000-000001000000}"/>
    <cellStyle name="Normal 2" xfId="2" xr:uid="{00000000-0005-0000-0000-000002000000}"/>
    <cellStyle name="Normal 2 2" xfId="4" xr:uid="{00000000-0005-0000-0000-000003000000}"/>
    <cellStyle name="Normal 2 3" xfId="9" xr:uid="{00000000-0005-0000-0000-000004000000}"/>
    <cellStyle name="Normal 2 3 2" xfId="14" xr:uid="{00000000-0005-0000-0000-000005000000}"/>
    <cellStyle name="Normal 2 3 2 2" xfId="36" xr:uid="{00000000-0005-0000-0000-000005000000}"/>
    <cellStyle name="Normal 2 3 3" xfId="21" xr:uid="{00000000-0005-0000-0000-000006000000}"/>
    <cellStyle name="Normal 2 3 3 2" xfId="42" xr:uid="{00000000-0005-0000-0000-000006000000}"/>
    <cellStyle name="Normal 2 3 4" xfId="31" xr:uid="{00000000-0005-0000-0000-000004000000}"/>
    <cellStyle name="Normal 2 4" xfId="28" xr:uid="{00000000-0005-0000-0000-000002000000}"/>
    <cellStyle name="Normal 3" xfId="3" xr:uid="{00000000-0005-0000-0000-000007000000}"/>
    <cellStyle name="Normal 4" xfId="5" xr:uid="{00000000-0005-0000-0000-000008000000}"/>
    <cellStyle name="Normal 4 2" xfId="10" xr:uid="{00000000-0005-0000-0000-000009000000}"/>
    <cellStyle name="Normal 4 2 2" xfId="16" xr:uid="{00000000-0005-0000-0000-00000A000000}"/>
    <cellStyle name="Normal 4 2 2 2" xfId="38" xr:uid="{00000000-0005-0000-0000-00000A000000}"/>
    <cellStyle name="Normal 4 2 3" xfId="32" xr:uid="{00000000-0005-0000-0000-000009000000}"/>
    <cellStyle name="Normal 4 3" xfId="15" xr:uid="{00000000-0005-0000-0000-00000B000000}"/>
    <cellStyle name="Normal 4 3 2" xfId="37" xr:uid="{00000000-0005-0000-0000-00000B000000}"/>
    <cellStyle name="Normal 4 4" xfId="29" xr:uid="{00000000-0005-0000-0000-000008000000}"/>
    <cellStyle name="Normal 5" xfId="6" xr:uid="{00000000-0005-0000-0000-00000C000000}"/>
    <cellStyle name="Normal 6" xfId="11" xr:uid="{00000000-0005-0000-0000-00000D000000}"/>
    <cellStyle name="Normal 6 2" xfId="17" xr:uid="{00000000-0005-0000-0000-00000E000000}"/>
    <cellStyle name="Normal 6 2 2" xfId="39" xr:uid="{00000000-0005-0000-0000-00000E000000}"/>
    <cellStyle name="Normal 6 3" xfId="33" xr:uid="{00000000-0005-0000-0000-00000D000000}"/>
    <cellStyle name="Normal 7" xfId="44" xr:uid="{A3BE2905-EDF2-45DB-8E7B-13EDE152AA29}"/>
    <cellStyle name="Porcentagem" xfId="22" builtinId="5"/>
    <cellStyle name="Porcentagem 2" xfId="7" xr:uid="{00000000-0005-0000-0000-000010000000}"/>
    <cellStyle name="Porcentagem 2 2" xfId="24" xr:uid="{00000000-0005-0000-0000-000011000000}"/>
    <cellStyle name="Porcentagem 3" xfId="26" xr:uid="{00000000-0005-0000-0000-000047000000}"/>
    <cellStyle name="Separador de milhares 2" xfId="8" xr:uid="{00000000-0005-0000-0000-000012000000}"/>
    <cellStyle name="Separador de milhares 2 2" xfId="30" xr:uid="{00000000-0005-0000-0000-000012000000}"/>
    <cellStyle name="Separador de milhares 2 2 2" xfId="23" xr:uid="{00000000-0005-0000-0000-000013000000}"/>
    <cellStyle name="Separador de milhares 2 2 2 2" xfId="43" xr:uid="{00000000-0005-0000-0000-000013000000}"/>
    <cellStyle name="Separador de milhares 3" xfId="12" xr:uid="{00000000-0005-0000-0000-000014000000}"/>
    <cellStyle name="Separador de milhares 3 2" xfId="18" xr:uid="{00000000-0005-0000-0000-000015000000}"/>
    <cellStyle name="Separador de milhares 3 2 2" xfId="40" xr:uid="{00000000-0005-0000-0000-000015000000}"/>
    <cellStyle name="Separador de milhares 3 3" xfId="34" xr:uid="{00000000-0005-0000-0000-000014000000}"/>
    <cellStyle name="Vírgula" xfId="1" builtinId="3"/>
    <cellStyle name="Vírgula 2" xfId="13" xr:uid="{00000000-0005-0000-0000-000017000000}"/>
    <cellStyle name="Vírgula 2 2" xfId="35" xr:uid="{00000000-0005-0000-0000-000017000000}"/>
    <cellStyle name="Vírgula 3" xfId="25" xr:uid="{00000000-0005-0000-0000-000049000000}"/>
    <cellStyle name="Vírgula 3 2" xfId="45" xr:uid="{2A8491CE-CE21-4C80-8C33-8C0F8BD5C583}"/>
    <cellStyle name="Vírgula 4" xfId="27" xr:uid="{00000000-0005-0000-0000-000058000000}"/>
    <cellStyle name="Vírgula 7" xfId="20" xr:uid="{00000000-0005-0000-0000-000018000000}"/>
    <cellStyle name="Vírgula 7 2" xfId="41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Paulo\AppData\Local\Microsoft\Windows\Temporary%20Internet%20Files\Content.Outlook\B80SIZG9\CORT-%20SES%20TCPAC%200526-08%20-%20PLANILHAS%20E%20CARACTERISTICAS%20-%2011%2001%2012%20(APROVAD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Paulo\Documents\0%20-%202013\1%20-%20PAC2%20-%20FELIPPO%20-%20SES%20-%20PROJETOS\SALO&#193;%20-%20SES%20-%20PLANILHAS%20PAC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UNASA%20-%20PROJETOS%20PAC2%20-2013%20-%20APROVADOS\SALO&#193;%20-%20SES\SALO&#193;-SES-PAC2-PLANILHAS%20-%20ONERADO%20-%2026.08%20-%20PP.REV.P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aulo-augusto\c\Users\PedroPaulo\AppData\Local\Microsoft\Windows\Temporary%20Internet%20Files\Content.Outlook\4MEOX23X\CORT-%20SES%20TCPAC%200526-08%20-%20PLANILHAS%20E%20CARACTERISTICAS%20-%2011%2001%2012%20(APROVADOS)-29%2003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%20PAULO%20%20I7\Documents\1%20-%202009\CORTES2009\CORT&#202;S%20-%20SES\CORTES%20-%20SES%20-%20PAC2%20%20-%20PLANILHA%20E%20CARACTER&#205;TICAS%2023.01.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gusta\Atp\Documents%20and%20Settings\Renato\Desktop\Pre&#231;os%20Revisados-OAE-SEPLANE-(25-11-04)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a&#231;&#227;odejesus\Desktop\Meus%20projetos\PREF.%20CANHOTINHO\UBS%20S&#195;O%20SEBASTI&#195;O\UBS%20S&#195;O%20SEBASTI&#195;O%202\UBS%20S&#195;O%20SEBASTI&#195;O%20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gui\Desktop\N%20E%20117\NE%20117_Anexo%20VIII_ERC_08%20fe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ETE"/>
      <sheetName val="Rede GERAL"/>
      <sheetName val="RES ETP 1"/>
      <sheetName val="CRONO"/>
      <sheetName val="DISSIPADOR"/>
      <sheetName val="mem.calc.quant.dissipador"/>
      <sheetName val="EMISSÁRI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>
        <row r="6">
          <cell r="C6" t="str">
            <v>Local: Cortês - PE</v>
          </cell>
        </row>
      </sheetData>
      <sheetData sheetId="1">
        <row r="6">
          <cell r="C6" t="str">
            <v>CARACTERÍSTICAS DA REDE COLETORA - 1ª ETAPA</v>
          </cell>
        </row>
      </sheetData>
      <sheetData sheetId="2">
        <row r="6">
          <cell r="C6" t="str">
            <v>QUANTITATIVOS DE SERVIÇOS DA REDE COLETORA- 1ª ETAPA</v>
          </cell>
        </row>
      </sheetData>
      <sheetData sheetId="3">
        <row r="8">
          <cell r="C8" t="str">
            <v xml:space="preserve"> DESCRIÇÃO DOS SERVIÇOS</v>
          </cell>
        </row>
      </sheetData>
      <sheetData sheetId="4">
        <row r="9">
          <cell r="C9" t="str">
            <v xml:space="preserve"> DESCRIÇÃO DOS SERVIÇOS</v>
          </cell>
        </row>
      </sheetData>
      <sheetData sheetId="5">
        <row r="9">
          <cell r="C9" t="str">
            <v xml:space="preserve"> DESCRIÇÃO DOS SERVIÇOS</v>
          </cell>
        </row>
      </sheetData>
      <sheetData sheetId="6">
        <row r="7">
          <cell r="C7" t="str">
            <v>Ud</v>
          </cell>
        </row>
      </sheetData>
      <sheetData sheetId="7">
        <row r="7">
          <cell r="C7" t="str">
            <v>SERVIÇOS PRELIMINARES</v>
          </cell>
        </row>
      </sheetData>
      <sheetData sheetId="8">
        <row r="10">
          <cell r="C10" t="str">
            <v>DESCRIÇÃO</v>
          </cell>
        </row>
      </sheetData>
      <sheetData sheetId="9">
        <row r="14">
          <cell r="D14">
            <v>34.03</v>
          </cell>
        </row>
      </sheetData>
      <sheetData sheetId="10">
        <row r="9">
          <cell r="C9" t="str">
            <v>DESCRIÇÃO</v>
          </cell>
        </row>
      </sheetData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PP"/>
      <sheetName val="DISSIPADOR"/>
      <sheetName val="EMISSÁRIO"/>
      <sheetName val="ADMINISTRAÇÃO"/>
      <sheetName val="Dados de projeto"/>
      <sheetName val="PLANILHA DE CÁLCULO"/>
      <sheetName val="Caracteristicas 1"/>
      <sheetName val="Caracteristicas 2"/>
      <sheetName val="Quantitativos"/>
      <sheetName val="Orçament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ção"/>
      <sheetName val="RESUMO"/>
      <sheetName val="CRONOGRAMA"/>
      <sheetName val="ADMNISTRAÇÃO"/>
      <sheetName val="TRAT. PRELIMINAR- PLAN"/>
      <sheetName val="TRATAM.PRELIMINAR- MEM"/>
      <sheetName val="ETE"/>
      <sheetName val="MEMO ETE"/>
      <sheetName val="MEMO ETE-CAIXAS"/>
      <sheetName val="EMISSÁRIO"/>
      <sheetName val="MEMO EMIS"/>
      <sheetName val="DISSIPADOR"/>
      <sheetName val="MEMO. DISSIPADOR"/>
      <sheetName val="REDE"/>
      <sheetName val="MEMO REDE"/>
      <sheetName val="LIG.INTRA - PLAN"/>
      <sheetName val="LIG.INTRA - MEM"/>
      <sheetName val="REDE2"/>
      <sheetName val="MEMO REDE2"/>
      <sheetName val="memo dissipador"/>
      <sheetName val="Dados de projeto"/>
      <sheetName val="PLANILHA DE CÁLCULO"/>
      <sheetName val="Caracteristicas 1"/>
      <sheetName val="Caracteristicas 2"/>
      <sheetName val="Quantitativos"/>
      <sheetName val="Orçament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RES ETP 1"/>
      <sheetName val="Rede GERAL"/>
      <sheetName val="ETE"/>
      <sheetName val="EMISSÁRIO"/>
      <sheetName val="DISSIPADOR"/>
      <sheetName val="mem.calc.quant.dissipador"/>
      <sheetName val="CRONO"/>
      <sheetName val="REP 01"/>
      <sheetName val="MC REP 01"/>
      <sheetName val="BDI "/>
      <sheetName val="ENCARGOS"/>
      <sheetName val="CPU"/>
      <sheetName val="CFF"/>
      <sheetName val="COTAÇÃO DE PREÇO"/>
      <sheetName val="COMPOSIÇÃO"/>
      <sheetName val="FATOR K"/>
      <sheetName val="C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ETE"/>
      <sheetName val="Rede GERAL"/>
      <sheetName val="2 Etapa"/>
      <sheetName val="administração"/>
      <sheetName val="CRON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106527.7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OAE"/>
      <sheetName val="OAE"/>
      <sheetName val="NOVAS "/>
      <sheetName val="RESTAURAÇÃO "/>
      <sheetName val="Transp"/>
      <sheetName val="F.Transporte (2)"/>
      <sheetName val="F.Transporte"/>
      <sheetName val="REP 01"/>
      <sheetName val="MC REP 01"/>
      <sheetName val="COMPOSIÇÃO"/>
      <sheetName val="FATOR K"/>
      <sheetName val="BDI "/>
      <sheetName val="ENCARGOS"/>
      <sheetName val="CPUs"/>
      <sheetName val="CFF"/>
      <sheetName val="CPU"/>
      <sheetName val="COTAÇÃO DE PRE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C"/>
      <sheetName val="Cronograma"/>
      <sheetName val="BDI"/>
      <sheetName val="Base de Preço"/>
      <sheetName val="C-01"/>
      <sheetName val="C-02"/>
    </sheetNames>
    <sheetDataSet>
      <sheetData sheetId="0">
        <row r="4">
          <cell r="A4" t="str">
            <v>OBRA:</v>
          </cell>
        </row>
        <row r="5">
          <cell r="A5" t="str">
            <v>LOCAL: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 de entrada"/>
      <sheetName val="Atualização de custos unitarios"/>
      <sheetName val="FIC"/>
      <sheetName val="FIT"/>
      <sheetName val="Plan. de campo"/>
      <sheetName val="Nota de serviço"/>
      <sheetName val="Planilha orçamentária"/>
      <sheetName val="Cronograma"/>
      <sheetName val="Composições - Equipamentos"/>
      <sheetName val="Composições - Transportes"/>
      <sheetName val="LDI"/>
      <sheetName val="1.1-Mobil"/>
      <sheetName val="1.2-Canteiro"/>
      <sheetName val="1.3-Adm. Local"/>
      <sheetName val="1.4-Placa"/>
      <sheetName val="1.5-Licenc."/>
      <sheetName val="1.6-Proj Exec"/>
      <sheetName val="1.7-Proj Ponte CA"/>
      <sheetName val="1.8-Sondagem 1ª cat"/>
      <sheetName val="1.9-Sondagem 2ª cat"/>
      <sheetName val="1.10-Sondagem 3ª cat"/>
      <sheetName val="1.11-Hidrologia Pontes"/>
      <sheetName val="1.12-Topografia Pontes"/>
      <sheetName val="1.13-Comp"/>
      <sheetName val="1.14-Comp"/>
      <sheetName val="1.15-Comp "/>
      <sheetName val="2.1-Desmat. 0.15"/>
      <sheetName val="2.2-Desmat.Maior 0.15"/>
      <sheetName val="2.3-Destoc. 0.15 a 0.30"/>
      <sheetName val="2.4-Destoc.Maior 0.30"/>
      <sheetName val="2.5-Comp"/>
      <sheetName val="2.6-Comp"/>
      <sheetName val="2.7-Comp"/>
      <sheetName val="3.1-ECT-50m"/>
      <sheetName val="3.2-ECT-50-200m"/>
      <sheetName val="3.3-ECT-200-400m"/>
      <sheetName val="3.4-ECT-400-600m"/>
      <sheetName val="3.5-ECT-600-800m"/>
      <sheetName val="3.6-ECT-800-1000m"/>
      <sheetName val="3.7-Esc.Carga 2a"/>
      <sheetName val="3.8-Esc.Carga 2a 50-200"/>
      <sheetName val="3.9-Esc.Carga 3a"/>
      <sheetName val="3.10-Esc.Carga"/>
      <sheetName val="3.11-Transp LN"/>
      <sheetName val="3.12-Transp RP"/>
      <sheetName val="3.13-Cpct.Aterro"/>
      <sheetName val="3.14-Reconf.Plat."/>
      <sheetName val="3.15-Esc.Mec.Vala"/>
      <sheetName val="3.16-Bigodes"/>
      <sheetName val="3.17-Exp.Areia"/>
      <sheetName val="3.18-Exp.Jaz"/>
      <sheetName val="3.19-Semead.Manual.Taludes"/>
      <sheetName val="3.20-Comp"/>
      <sheetName val="3.21-Comp"/>
      <sheetName val="3.22-Comp"/>
      <sheetName val="3.23-Comp"/>
      <sheetName val="4.1-Cp.BSTC-40"/>
      <sheetName val="4.2-Cp.BSTC-60"/>
      <sheetName val="4.3-Cp.BSTC-80"/>
      <sheetName val="4.4-Cp.BSTC-100"/>
      <sheetName val="4.5-Cp.BSTC-120"/>
      <sheetName val="4.6-Cp.BSTC-150"/>
      <sheetName val="4.7-Cp.BDTC-40"/>
      <sheetName val="4.8-Cp.BDTC-60"/>
      <sheetName val="4.9-Cp.BDTC-80"/>
      <sheetName val="4.10-Cp.BDTC-100"/>
      <sheetName val="4.11-Cp.BDTC-120"/>
      <sheetName val="4.12-Cp.BDTC-150"/>
      <sheetName val="4.13-Cp.BTTC-40"/>
      <sheetName val="4.14-Cp.BTTC-60"/>
      <sheetName val="4.15-Cp.BTTC-80"/>
      <sheetName val="4.16-Cp.BTTC-100"/>
      <sheetName val="4.17-Cp.BTTC-120"/>
      <sheetName val="4.18-Cp.BTTC-150"/>
      <sheetName val="4.19-Bca.BSTC-40"/>
      <sheetName val="4.20-Bca.BSTC-60"/>
      <sheetName val="4.21-Bca.BSTC-80"/>
      <sheetName val="4.22-Bca.BSTC-100"/>
      <sheetName val="4.23-Bca.BSTC-120"/>
      <sheetName val="4.24-Bca.BSTC-150"/>
      <sheetName val="4.25-Bca.BDTC-40"/>
      <sheetName val="4.26-Bca.BDTC-60"/>
      <sheetName val="4.27-Bca.BDTC-80"/>
      <sheetName val="4.28-Bca.BDTC-100"/>
      <sheetName val="4.29-Bca.BDTC-120"/>
      <sheetName val="4.30-Bca.BDTC-150"/>
      <sheetName val="4.31-Bca.BTTC-40"/>
      <sheetName val="4.32-Bca.BTTC-60"/>
      <sheetName val="4.33-Bca.BTTC-80"/>
      <sheetName val="4.34-Bca.BTTC-100"/>
      <sheetName val="4.35-Bca.BTTC-120"/>
      <sheetName val="4.36-Bca.BTTC-150"/>
      <sheetName val="4.19-Bca.Ped.BSTC-40"/>
      <sheetName val="4.20-Bca.Ped.BSTC-60"/>
      <sheetName val="4.21-Bca.Ped.BSTC-80"/>
      <sheetName val="4.22-Bca.Ped.BSTC-100"/>
      <sheetName val="4.23-Bca.Ped.BSTC-120"/>
      <sheetName val="4.24-Bca.Ped.BSTC-150"/>
      <sheetName val="4.25-Bca.Ped.BDTC-40"/>
      <sheetName val="4.26-Bca.Ped.BDTC-60"/>
      <sheetName val="4.27-Bca.Ped.BDTC-80"/>
      <sheetName val="4.28-Bca.Ped.BDTC-100"/>
      <sheetName val="4.29-Bca.Ped.BDTC-120"/>
      <sheetName val="4.30-Bca.Ped.BDTC-150"/>
      <sheetName val="4.31-Bca.Ped.BTTC-40"/>
      <sheetName val="4.32-Bca.Ped.BTTC-60"/>
      <sheetName val="4.33-Bca.Ped.BTTC-80"/>
      <sheetName val="4.34-Bca.Ped.BTTC-100"/>
      <sheetName val="4.35-Bca.Ped.BTTC-120"/>
      <sheetName val="4.36-Bca.Ped.BTTC-150"/>
      <sheetName val="4.37-Esc.Mec.Vala"/>
      <sheetName val="4.38-Reaterro.Man.Soq.Vib"/>
      <sheetName val="4.39-Comp"/>
      <sheetName val="4.40-Comp"/>
      <sheetName val="4.41-Comp"/>
      <sheetName val="5.1-Pte.Mad."/>
      <sheetName val="5.2-Pte.Ped.Arg.Mad."/>
      <sheetName val="5.3-Ptlh.Mad"/>
      <sheetName val="5.4-Pte.Mist.Conc.Mad."/>
      <sheetName val="5.5-Pte.Conc.Armado"/>
      <sheetName val="5.6-Sinaliz.ObraArte"/>
      <sheetName val="5.7-Mata Burro"/>
      <sheetName val="5.8-Passagem Molhada"/>
      <sheetName val="5.9-Sinaliz.Provisória"/>
      <sheetName val="5.10-Comp"/>
      <sheetName val="5.11-Comp"/>
      <sheetName val="5.12-Comp"/>
      <sheetName val="6.1-Esc.Cga.Mat.Jaz."/>
      <sheetName val="6.2-Transp.LN"/>
      <sheetName val="6.3-Transp.RP"/>
      <sheetName val="6.4-Cpct.Aterro"/>
      <sheetName val="6.5-Comp"/>
      <sheetName val="6.6-Comp"/>
      <sheetName val="6.7-Comp"/>
      <sheetName val="7.1-ECT-50m"/>
      <sheetName val="7.2-Semeadura manual"/>
      <sheetName val="7.3-Comp"/>
      <sheetName val="7.4-Comp"/>
      <sheetName val="7.5-Comp"/>
      <sheetName val="A001-Escav.Man.Valas"/>
      <sheetName val="A002-AçoCA-25"/>
      <sheetName val="A003-Tábua"/>
      <sheetName val="A004-FormaComum"/>
      <sheetName val="A005-Argamassa1-3"/>
      <sheetName val="A006-Argamassa1-4"/>
      <sheetName val="A007-Alv.Ped.Arg.1-3"/>
      <sheetName val="A008-Alv.Ped.Arg.1-4"/>
      <sheetName val="A009-Conc.20MPa"/>
      <sheetName val="A010-Conc.Cicl.20MPa"/>
      <sheetName val="A011-Pint. Esmalte"/>
      <sheetName val="A012-Pint.Imuniz."/>
      <sheetName val="A013-Placa.Reflexiva"/>
      <sheetName val="A014-Suporte.Placa"/>
      <sheetName val="A015-Levant.Planialt."/>
      <sheetName val="A016-Pintura.Eletrostática"/>
      <sheetName val="A017-Transp.Cam.Basc.Rev.Pri"/>
      <sheetName val="A018-Enroc.Pedr.Arrum"/>
      <sheetName val="A019-ColchãoAreia"/>
      <sheetName val="A020-Roçada.Manual"/>
      <sheetName val="A021-Placa.Refl.D-60"/>
      <sheetName val="A022-Placa.Refl.100x60"/>
      <sheetName val="A023-Placa.Refl.Barreira"/>
      <sheetName val="Conversão ECT Basc 10m3"/>
      <sheetName val="Vol. Bueiro40"/>
      <sheetName val="Vol. Bueiro60"/>
      <sheetName val="Vol. Bueiro80"/>
      <sheetName val="Vol. Bueiro100"/>
      <sheetName val="Vol. Bueiro120"/>
      <sheetName val="Vol. Bueiro150"/>
      <sheetName val="Vol. Ref"/>
    </sheetNames>
    <sheetDataSet>
      <sheetData sheetId="0">
        <row r="9">
          <cell r="C9" t="str">
            <v>Superintendência Regional de ..... - SR ... / ....</v>
          </cell>
        </row>
      </sheetData>
      <sheetData sheetId="1">
        <row r="54">
          <cell r="A54" t="str">
            <v>DNIT –</v>
          </cell>
          <cell r="B54" t="str">
            <v>P9801</v>
          </cell>
          <cell r="C54" t="str">
            <v>Ajudante</v>
          </cell>
          <cell r="E54">
            <v>14.9375</v>
          </cell>
        </row>
        <row r="55">
          <cell r="A55" t="str">
            <v>DNIT –</v>
          </cell>
          <cell r="B55" t="str">
            <v>P9805</v>
          </cell>
          <cell r="C55" t="str">
            <v>Armador</v>
          </cell>
          <cell r="E55">
            <v>19.630400000000002</v>
          </cell>
        </row>
        <row r="56">
          <cell r="A56" t="str">
            <v>DNIT –</v>
          </cell>
          <cell r="B56" t="str">
            <v>P9808</v>
          </cell>
          <cell r="C56" t="str">
            <v>Carpinteiro</v>
          </cell>
          <cell r="E56">
            <v>19.764600000000002</v>
          </cell>
        </row>
        <row r="57">
          <cell r="A57" t="str">
            <v>DNIT –</v>
          </cell>
          <cell r="B57" t="str">
            <v>P9821</v>
          </cell>
          <cell r="C57" t="str">
            <v>Pedreiro</v>
          </cell>
          <cell r="E57">
            <v>19.4588</v>
          </cell>
        </row>
        <row r="58">
          <cell r="A58" t="str">
            <v>DNIT –</v>
          </cell>
          <cell r="B58" t="str">
            <v>P9822</v>
          </cell>
          <cell r="C58" t="str">
            <v>Pintor</v>
          </cell>
          <cell r="E58">
            <v>17.710899999999999</v>
          </cell>
        </row>
        <row r="59">
          <cell r="A59" t="str">
            <v>DNIT –</v>
          </cell>
          <cell r="B59" t="str">
            <v>P9823</v>
          </cell>
          <cell r="C59" t="str">
            <v>Serralheiro</v>
          </cell>
          <cell r="E59">
            <v>17.7377</v>
          </cell>
        </row>
        <row r="60">
          <cell r="A60" t="str">
            <v>DNIT –</v>
          </cell>
          <cell r="B60" t="str">
            <v>P9824</v>
          </cell>
          <cell r="C60" t="str">
            <v>Servente</v>
          </cell>
          <cell r="E60">
            <v>13.6304</v>
          </cell>
        </row>
        <row r="61">
          <cell r="A61" t="str">
            <v>DNIT –</v>
          </cell>
          <cell r="B61" t="str">
            <v>P9825</v>
          </cell>
          <cell r="C61" t="str">
            <v>Soldador</v>
          </cell>
          <cell r="E61">
            <v>23.529800000000002</v>
          </cell>
        </row>
        <row r="62">
          <cell r="A62" t="str">
            <v>DNIT –</v>
          </cell>
          <cell r="B62" t="str">
            <v>P9830</v>
          </cell>
          <cell r="C62" t="str">
            <v>Montador</v>
          </cell>
          <cell r="E62">
            <v>19.8367</v>
          </cell>
        </row>
        <row r="63">
          <cell r="A63" t="str">
            <v>DNIT –</v>
          </cell>
          <cell r="B63" t="str">
            <v>P9843</v>
          </cell>
          <cell r="C63" t="str">
            <v>Operador de equipamento leve</v>
          </cell>
          <cell r="E63">
            <v>22.273800000000001</v>
          </cell>
        </row>
        <row r="64">
          <cell r="A64" t="str">
            <v>DNIT –</v>
          </cell>
          <cell r="B64" t="str">
            <v>P9845</v>
          </cell>
          <cell r="C64" t="str">
            <v>Operador de equipamento pesado</v>
          </cell>
          <cell r="E64">
            <v>26.548500000000001</v>
          </cell>
        </row>
        <row r="65">
          <cell r="A65" t="str">
            <v>DNIT –</v>
          </cell>
          <cell r="B65" t="str">
            <v>P9846</v>
          </cell>
          <cell r="C65" t="str">
            <v xml:space="preserve">Operador de equipamento especial </v>
          </cell>
          <cell r="E65">
            <v>30.483899999999998</v>
          </cell>
        </row>
        <row r="66">
          <cell r="A66" t="str">
            <v>DNIT –</v>
          </cell>
          <cell r="B66" t="str">
            <v>P9852</v>
          </cell>
          <cell r="C66" t="str">
            <v>Blaster</v>
          </cell>
          <cell r="E66">
            <v>22.9068</v>
          </cell>
        </row>
        <row r="74">
          <cell r="A74" t="str">
            <v>DNIT –</v>
          </cell>
          <cell r="B74" t="str">
            <v>NS - P1</v>
          </cell>
          <cell r="C74" t="str">
            <v>Engenheiro / Profissional Sênior</v>
          </cell>
          <cell r="E74">
            <v>13103.63</v>
          </cell>
        </row>
        <row r="75">
          <cell r="A75" t="str">
            <v>DNIT –</v>
          </cell>
          <cell r="B75" t="str">
            <v>NS - P2</v>
          </cell>
          <cell r="C75" t="str">
            <v>Engenheiro / Profissional Pleno</v>
          </cell>
          <cell r="E75">
            <v>10251.290000000001</v>
          </cell>
        </row>
        <row r="76">
          <cell r="A76" t="str">
            <v>DNIT –</v>
          </cell>
          <cell r="B76" t="str">
            <v>NS - P3</v>
          </cell>
          <cell r="C76" t="str">
            <v>Engenheiro / Profissional Júnior</v>
          </cell>
          <cell r="E76">
            <v>8433.81</v>
          </cell>
        </row>
        <row r="77">
          <cell r="A77" t="str">
            <v>DNIT –</v>
          </cell>
          <cell r="B77" t="str">
            <v>NT - T2</v>
          </cell>
          <cell r="C77" t="str">
            <v>Técnico Pleno (Topógrafo / Desenhista Projetista)</v>
          </cell>
          <cell r="E77">
            <v>3426.65</v>
          </cell>
        </row>
        <row r="78">
          <cell r="A78" t="str">
            <v>DNIT –</v>
          </cell>
          <cell r="B78" t="str">
            <v>NT - T4</v>
          </cell>
          <cell r="C78" t="str">
            <v>Técnico Auxiliar</v>
          </cell>
          <cell r="E78">
            <v>2054.6799999999998</v>
          </cell>
        </row>
        <row r="90">
          <cell r="E90">
            <v>3.2633999999999999</v>
          </cell>
        </row>
      </sheetData>
      <sheetData sheetId="2">
        <row r="6">
          <cell r="L6">
            <v>3.3169999999999998E-2</v>
          </cell>
        </row>
      </sheetData>
      <sheetData sheetId="3"/>
      <sheetData sheetId="4"/>
      <sheetData sheetId="5"/>
      <sheetData sheetId="6">
        <row r="2">
          <cell r="E2" t="str">
            <v>Superintendência Regional de ..... - SR ... / ....</v>
          </cell>
        </row>
        <row r="9">
          <cell r="E9" t="str">
            <v xml:space="preserve">Construção / complementação de estradas vicinais padrão alimentadora </v>
          </cell>
        </row>
      </sheetData>
      <sheetData sheetId="7"/>
      <sheetData sheetId="8">
        <row r="15">
          <cell r="A15" t="str">
            <v>DNIT –</v>
          </cell>
          <cell r="B15" t="str">
            <v>E9076</v>
          </cell>
          <cell r="C15" t="str">
            <v>Equipamento de pintura com cabine de 7,00 kW e estufa de 80.000 kCal para pintura eletrostática</v>
          </cell>
        </row>
        <row r="16">
          <cell r="A16" t="str">
            <v>DNIT –</v>
          </cell>
          <cell r="B16" t="str">
            <v>E9502</v>
          </cell>
          <cell r="C16" t="str">
            <v>Bate-estaca de gravidade para 3,5 a 4,0 t - 119 Kw</v>
          </cell>
        </row>
        <row r="17">
          <cell r="A17" t="str">
            <v>DNIT –</v>
          </cell>
          <cell r="B17" t="str">
            <v>E9508</v>
          </cell>
          <cell r="C17" t="str">
            <v>Caminhão carroceria com capacidade de 9 t - 136 kW (Atego 1419 - Mercedes-Benz)</v>
          </cell>
          <cell r="S17">
            <v>122.21339999999999</v>
          </cell>
        </row>
        <row r="18">
          <cell r="A18" t="str">
            <v>DNIT –</v>
          </cell>
          <cell r="B18" t="str">
            <v>E9511</v>
          </cell>
          <cell r="C18" t="str">
            <v>Carregadeira de pneus com capacidade de 3,30 m³ - 213 kW (950H - Caterpillar)</v>
          </cell>
        </row>
        <row r="19">
          <cell r="A19" t="str">
            <v>DNIT –</v>
          </cell>
          <cell r="B19" t="str">
            <v>E9515</v>
          </cell>
          <cell r="C19" t="str">
            <v>Escavadeira hidráulica sobre esteira com caçamba com capacidade de 1,50 m³ - 110 kW (323 DL-Caterpillar)</v>
          </cell>
        </row>
        <row r="21">
          <cell r="A21" t="str">
            <v>DNIT –</v>
          </cell>
          <cell r="B21" t="str">
            <v>E9518</v>
          </cell>
          <cell r="C21" t="str">
            <v>Grade de 24 discos rebocável de 24" (GAM 24 x 24" - Marchesan)</v>
          </cell>
        </row>
        <row r="24">
          <cell r="A24" t="str">
            <v>DNIT –</v>
          </cell>
          <cell r="B24" t="str">
            <v>E9524</v>
          </cell>
          <cell r="C24" t="str">
            <v>Motoniveladora - 93 kW (120K - Caterpillar)</v>
          </cell>
        </row>
        <row r="25">
          <cell r="A25" t="str">
            <v>DNIT –</v>
          </cell>
          <cell r="B25" t="str">
            <v>E9526</v>
          </cell>
          <cell r="C25" t="str">
            <v>Retroescavadeira de pneus - 58 kW (416E - Caterpillar)</v>
          </cell>
        </row>
        <row r="27">
          <cell r="A27" t="str">
            <v>DNIT –</v>
          </cell>
          <cell r="B27" t="str">
            <v>E9531</v>
          </cell>
          <cell r="C27" t="str">
            <v>Equipamento de sondagem a percussão com motobomba - 2,5 kW</v>
          </cell>
        </row>
        <row r="28">
          <cell r="A28" t="str">
            <v>DNIT –</v>
          </cell>
          <cell r="B28" t="str">
            <v>E9533</v>
          </cell>
          <cell r="C28" t="str">
            <v>Sonda rotativa com motor, bombas, mastro e cabeçote - 20 kW</v>
          </cell>
        </row>
        <row r="30">
          <cell r="A30" t="str">
            <v>DNIT –</v>
          </cell>
          <cell r="B30" t="str">
            <v>E9537</v>
          </cell>
          <cell r="C30" t="str">
            <v>Carregadeira de pneus com capacidade de 1,72 m³ - 113 kW (W20E - Case Construction)</v>
          </cell>
        </row>
        <row r="31">
          <cell r="A31" t="str">
            <v>DNIT –</v>
          </cell>
          <cell r="B31" t="str">
            <v>E9540</v>
          </cell>
          <cell r="C31" t="str">
            <v>Trator de esteiras com lâmina - 112 kW (D6N - Caterpillar)</v>
          </cell>
        </row>
        <row r="32">
          <cell r="A32" t="str">
            <v>DNIT –</v>
          </cell>
          <cell r="B32" t="str">
            <v>E9541</v>
          </cell>
          <cell r="C32" t="str">
            <v>Trator de esteiras com lâmina - 259 kW (D8T - Caterpillar)</v>
          </cell>
        </row>
        <row r="36">
          <cell r="A36" t="str">
            <v>DNIT –</v>
          </cell>
          <cell r="B36" t="str">
            <v>E9574</v>
          </cell>
          <cell r="C36" t="str">
            <v>Perfuratriz sobre esteiras - 145 kW (Power Roc T35 - Atlas Copco)</v>
          </cell>
        </row>
        <row r="38">
          <cell r="A38" t="str">
            <v>DNIT –</v>
          </cell>
          <cell r="B38" t="str">
            <v>E9577</v>
          </cell>
          <cell r="C38" t="str">
            <v>Trator agrícola - 77 kW (MF 4292 - Massey Ferguson)</v>
          </cell>
        </row>
        <row r="39">
          <cell r="A39" t="str">
            <v>DNIT –</v>
          </cell>
          <cell r="B39" t="str">
            <v>E9579</v>
          </cell>
          <cell r="C39" t="str">
            <v>Caminhão basculante com capacidade de 10 m³ - 210 kW (Atron 2729  - Mercedes-Benz)</v>
          </cell>
          <cell r="S39">
            <v>178.29300000000001</v>
          </cell>
        </row>
        <row r="44">
          <cell r="B44" t="str">
            <v>E9666</v>
          </cell>
          <cell r="C44" t="str">
            <v>Cavalo mecânico com semi-reboque e capacidade de 45 t - 295 kW (Axor 2041 - Mercedes-Benz / Randon)</v>
          </cell>
          <cell r="S44">
            <v>238.44110000000001</v>
          </cell>
        </row>
        <row r="45">
          <cell r="A45" t="str">
            <v>DNIT –</v>
          </cell>
          <cell r="B45" t="str">
            <v>E9667</v>
          </cell>
          <cell r="C45" t="str">
            <v>Caminhão basculante com capacidade de 14 m³ - 295 kW</v>
          </cell>
          <cell r="S45">
            <v>246.83369999999999</v>
          </cell>
        </row>
        <row r="46">
          <cell r="A46" t="str">
            <v>DNIT –</v>
          </cell>
          <cell r="B46" t="str">
            <v>E9684</v>
          </cell>
          <cell r="C46" t="str">
            <v>Veículo leve Pick Up 4 x 4 - 147 kW (S10 - Chevrolet 4 x 4 - Cabine Dupla)</v>
          </cell>
          <cell r="S46">
            <v>111.8052</v>
          </cell>
        </row>
        <row r="47">
          <cell r="A47" t="str">
            <v>DNIT –</v>
          </cell>
          <cell r="B47" t="str">
            <v>E9685</v>
          </cell>
          <cell r="C47" t="str">
            <v>Rolo compactador pé de carneiro vibratório autopropelido de 11,6 t - 82 kW (CA 250 D - Dynapac)</v>
          </cell>
        </row>
        <row r="48">
          <cell r="A48" t="str">
            <v>DNIT –</v>
          </cell>
          <cell r="B48" t="str">
            <v>E9686</v>
          </cell>
          <cell r="C48" t="str">
            <v>Caminhão carroceria com guindauto com capacidade de 30 t.m - 136 kW</v>
          </cell>
          <cell r="S48">
            <v>127.1318</v>
          </cell>
        </row>
        <row r="49">
          <cell r="A49" t="str">
            <v>DNIT –</v>
          </cell>
          <cell r="B49" t="str">
            <v>E9687</v>
          </cell>
          <cell r="C49" t="str">
            <v>Caminhão carroceria com capacidade de 4 t - 115 Kw (Accelo 815 - Mercedes-Benz</v>
          </cell>
          <cell r="S49">
            <v>103.5628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0A1F-0271-4CAC-AC17-C822041229F8}">
  <dimension ref="A1:E25"/>
  <sheetViews>
    <sheetView view="pageBreakPreview" zoomScale="115" zoomScaleNormal="100" zoomScaleSheetLayoutView="115" workbookViewId="0">
      <selection activeCell="B14" sqref="B14"/>
    </sheetView>
  </sheetViews>
  <sheetFormatPr defaultColWidth="11.453125" defaultRowHeight="12.5" x14ac:dyDescent="0.25"/>
  <cols>
    <col min="1" max="1" width="6.7265625" style="2" customWidth="1"/>
    <col min="2" max="2" width="52.7265625" style="28" customWidth="1"/>
    <col min="3" max="3" width="14.7265625" style="29" customWidth="1"/>
  </cols>
  <sheetData>
    <row r="1" spans="1:4" ht="15.75" customHeight="1" x14ac:dyDescent="0.35">
      <c r="A1" s="458" t="s">
        <v>0</v>
      </c>
      <c r="B1" s="459"/>
      <c r="C1" s="459"/>
    </row>
    <row r="2" spans="1:4" ht="12.75" customHeight="1" x14ac:dyDescent="0.25">
      <c r="A2" s="460"/>
      <c r="B2" s="461"/>
      <c r="C2" s="462"/>
    </row>
    <row r="3" spans="1:4" ht="15.75" customHeight="1" x14ac:dyDescent="0.35">
      <c r="A3" s="463" t="s">
        <v>1</v>
      </c>
      <c r="B3" s="464"/>
      <c r="C3" s="465"/>
    </row>
    <row r="4" spans="1:4" ht="12.75" customHeight="1" x14ac:dyDescent="0.25">
      <c r="A4" s="466"/>
      <c r="B4" s="467"/>
      <c r="C4" s="468"/>
    </row>
    <row r="5" spans="1:4" x14ac:dyDescent="0.25">
      <c r="A5" s="469"/>
      <c r="B5" s="470"/>
      <c r="C5" s="471"/>
    </row>
    <row r="6" spans="1:4" ht="38.15" customHeight="1" x14ac:dyDescent="0.25">
      <c r="A6" s="65" t="s">
        <v>2</v>
      </c>
      <c r="B6" s="472" t="s">
        <v>3</v>
      </c>
      <c r="C6" s="473"/>
    </row>
    <row r="7" spans="1:4" ht="12.75" customHeight="1" x14ac:dyDescent="0.25">
      <c r="A7" s="65" t="s">
        <v>4</v>
      </c>
      <c r="B7" s="474" t="str">
        <f>BASE!B7</f>
        <v>DISTRITO DE LOGRADOURO DOS LEÕES, BOM CONSELHO - PE</v>
      </c>
      <c r="C7" s="475"/>
    </row>
    <row r="8" spans="1:4" ht="13" x14ac:dyDescent="0.3">
      <c r="A8" s="481"/>
      <c r="B8" s="482"/>
      <c r="C8" s="483"/>
    </row>
    <row r="9" spans="1:4" x14ac:dyDescent="0.25">
      <c r="A9" s="484" t="s">
        <v>5</v>
      </c>
      <c r="B9" s="484" t="s">
        <v>6</v>
      </c>
      <c r="C9" s="485" t="s">
        <v>7</v>
      </c>
    </row>
    <row r="10" spans="1:4" x14ac:dyDescent="0.25">
      <c r="A10" s="484"/>
      <c r="B10" s="484"/>
      <c r="C10" s="485"/>
      <c r="D10" s="33"/>
    </row>
    <row r="11" spans="1:4" ht="13" x14ac:dyDescent="0.25">
      <c r="A11" s="478"/>
      <c r="B11" s="479"/>
      <c r="C11" s="480"/>
      <c r="D11" s="33"/>
    </row>
    <row r="12" spans="1:4" ht="13" x14ac:dyDescent="0.3">
      <c r="A12" s="118" t="s">
        <v>8</v>
      </c>
      <c r="B12" s="119" t="s">
        <v>9</v>
      </c>
      <c r="C12" s="120"/>
      <c r="D12" s="63"/>
    </row>
    <row r="13" spans="1:4" ht="13" x14ac:dyDescent="0.25">
      <c r="A13" s="122"/>
      <c r="B13" s="123"/>
      <c r="C13" s="124"/>
      <c r="D13" s="63"/>
    </row>
    <row r="14" spans="1:4" ht="13" x14ac:dyDescent="0.3">
      <c r="A14" s="118" t="s">
        <v>10</v>
      </c>
      <c r="B14" s="121" t="s">
        <v>11</v>
      </c>
      <c r="C14" s="120"/>
      <c r="D14" s="63"/>
    </row>
    <row r="15" spans="1:4" ht="13" x14ac:dyDescent="0.25">
      <c r="A15" s="122"/>
      <c r="B15" s="123"/>
      <c r="C15" s="124"/>
      <c r="D15" s="63"/>
    </row>
    <row r="16" spans="1:4" ht="13" x14ac:dyDescent="0.3">
      <c r="A16" s="118" t="s">
        <v>12</v>
      </c>
      <c r="B16" s="121" t="s">
        <v>13</v>
      </c>
      <c r="C16" s="120">
        <f>BASE!I38</f>
        <v>564199.29999999993</v>
      </c>
      <c r="D16" s="63"/>
    </row>
    <row r="17" spans="1:5" ht="13" x14ac:dyDescent="0.25">
      <c r="A17" s="122"/>
      <c r="B17" s="123"/>
      <c r="C17" s="124"/>
      <c r="D17" s="63"/>
    </row>
    <row r="18" spans="1:5" ht="13" x14ac:dyDescent="0.3">
      <c r="A18" s="118" t="s">
        <v>14</v>
      </c>
      <c r="B18" s="121" t="s">
        <v>15</v>
      </c>
      <c r="C18" s="120"/>
      <c r="D18" s="63"/>
    </row>
    <row r="19" spans="1:5" ht="13" x14ac:dyDescent="0.25">
      <c r="A19" s="122"/>
      <c r="B19" s="123"/>
      <c r="C19" s="124"/>
      <c r="D19" s="63"/>
    </row>
    <row r="20" spans="1:5" ht="14.5" x14ac:dyDescent="0.35">
      <c r="A20" s="476" t="s">
        <v>16</v>
      </c>
      <c r="B20" s="477"/>
      <c r="C20" s="66">
        <f>SUM(C12:C18)</f>
        <v>564199.29999999993</v>
      </c>
    </row>
    <row r="22" spans="1:5" x14ac:dyDescent="0.25">
      <c r="B22" s="30"/>
      <c r="C22" s="29">
        <v>0.7</v>
      </c>
      <c r="E22" t="s">
        <v>17</v>
      </c>
    </row>
    <row r="23" spans="1:5" x14ac:dyDescent="0.25">
      <c r="B23" s="30"/>
    </row>
    <row r="24" spans="1:5" x14ac:dyDescent="0.25">
      <c r="B24" s="30"/>
    </row>
    <row r="25" spans="1:5" x14ac:dyDescent="0.25">
      <c r="B25" s="30"/>
      <c r="C25" s="29">
        <f>C20*C22</f>
        <v>394939.50999999995</v>
      </c>
    </row>
  </sheetData>
  <mergeCells count="12">
    <mergeCell ref="B7:C7"/>
    <mergeCell ref="A20:B20"/>
    <mergeCell ref="A11:C11"/>
    <mergeCell ref="A8:C8"/>
    <mergeCell ref="A9:A10"/>
    <mergeCell ref="B9:B10"/>
    <mergeCell ref="C9:C10"/>
    <mergeCell ref="A1:C1"/>
    <mergeCell ref="A2:C2"/>
    <mergeCell ref="A3:C3"/>
    <mergeCell ref="A4:C5"/>
    <mergeCell ref="B6:C6"/>
  </mergeCells>
  <pageMargins left="1.40625" right="0.74" top="1.1951041666666666" bottom="0.78740157480314965" header="0.39302083333333332" footer="0.51181102362204722"/>
  <pageSetup paperSize="9" orientation="portrait" r:id="rId1"/>
  <headerFooter alignWithMargins="0">
    <oddHeader xml:space="preserve">&amp;L
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C213-0FAA-4156-BAE7-22C898899332}">
  <dimension ref="A1:J39"/>
  <sheetViews>
    <sheetView tabSelected="1" view="pageBreakPreview" topLeftCell="A34" zoomScaleNormal="100" zoomScaleSheetLayoutView="100" workbookViewId="0">
      <selection activeCell="I38" sqref="I38"/>
    </sheetView>
  </sheetViews>
  <sheetFormatPr defaultColWidth="11.453125" defaultRowHeight="12.5" x14ac:dyDescent="0.25"/>
  <cols>
    <col min="1" max="1" width="6.7265625" style="133" customWidth="1"/>
    <col min="2" max="3" width="10.7265625" style="133" customWidth="1"/>
    <col min="4" max="4" width="40.7265625" style="134" customWidth="1"/>
    <col min="5" max="5" width="5.7265625" style="135" customWidth="1"/>
    <col min="6" max="8" width="10.7265625" style="136" customWidth="1"/>
    <col min="9" max="9" width="14.7265625" style="136" customWidth="1"/>
    <col min="10" max="10" width="12.81640625" style="130" bestFit="1" customWidth="1"/>
    <col min="11" max="16384" width="11.453125" style="130"/>
  </cols>
  <sheetData>
    <row r="1" spans="1:10" ht="15.75" customHeight="1" x14ac:dyDescent="0.35">
      <c r="A1" s="458" t="s">
        <v>18</v>
      </c>
      <c r="B1" s="459"/>
      <c r="C1" s="459"/>
      <c r="D1" s="459"/>
      <c r="E1" s="459"/>
      <c r="F1" s="459"/>
      <c r="G1" s="459"/>
      <c r="H1" s="459"/>
      <c r="I1" s="459"/>
      <c r="J1" s="33"/>
    </row>
    <row r="2" spans="1:10" ht="15.5" x14ac:dyDescent="0.25">
      <c r="A2" s="460"/>
      <c r="B2" s="461"/>
      <c r="C2" s="461"/>
      <c r="D2" s="461"/>
      <c r="E2" s="461"/>
      <c r="F2" s="461"/>
      <c r="G2" s="461"/>
      <c r="H2" s="461"/>
      <c r="I2" s="462"/>
      <c r="J2" s="33"/>
    </row>
    <row r="3" spans="1:10" ht="15.75" customHeight="1" x14ac:dyDescent="0.35">
      <c r="A3" s="463" t="s">
        <v>19</v>
      </c>
      <c r="B3" s="464"/>
      <c r="C3" s="464"/>
      <c r="D3" s="464"/>
      <c r="E3" s="464"/>
      <c r="F3" s="464"/>
      <c r="G3" s="464"/>
      <c r="H3" s="464"/>
      <c r="I3" s="465"/>
      <c r="J3" s="33"/>
    </row>
    <row r="4" spans="1:10" x14ac:dyDescent="0.25">
      <c r="A4" s="466"/>
      <c r="B4" s="467"/>
      <c r="C4" s="467"/>
      <c r="D4" s="467"/>
      <c r="E4" s="467"/>
      <c r="F4" s="467"/>
      <c r="G4" s="467"/>
      <c r="H4" s="467"/>
      <c r="I4" s="468"/>
      <c r="J4" s="33"/>
    </row>
    <row r="5" spans="1:10" x14ac:dyDescent="0.25">
      <c r="A5" s="469"/>
      <c r="B5" s="470"/>
      <c r="C5" s="470"/>
      <c r="D5" s="470"/>
      <c r="E5" s="470"/>
      <c r="F5" s="470"/>
      <c r="G5" s="470"/>
      <c r="H5" s="470"/>
      <c r="I5" s="471"/>
      <c r="J5" s="33"/>
    </row>
    <row r="6" spans="1:10" ht="13" x14ac:dyDescent="0.25">
      <c r="A6" s="65" t="s">
        <v>2</v>
      </c>
      <c r="B6" s="489" t="s">
        <v>20</v>
      </c>
      <c r="C6" s="489"/>
      <c r="D6" s="489"/>
      <c r="E6" s="489"/>
      <c r="F6" s="489"/>
      <c r="G6" s="486" t="s">
        <v>620</v>
      </c>
      <c r="H6" s="486"/>
      <c r="I6" s="486"/>
      <c r="J6" s="33"/>
    </row>
    <row r="7" spans="1:10" ht="13" x14ac:dyDescent="0.25">
      <c r="A7" s="65" t="s">
        <v>4</v>
      </c>
      <c r="B7" s="474" t="s">
        <v>21</v>
      </c>
      <c r="C7" s="474"/>
      <c r="D7" s="474"/>
      <c r="E7" s="474"/>
      <c r="F7" s="474"/>
      <c r="G7" s="486" t="s">
        <v>22</v>
      </c>
      <c r="H7" s="486"/>
      <c r="I7" s="486"/>
      <c r="J7" s="33"/>
    </row>
    <row r="8" spans="1:10" ht="13" x14ac:dyDescent="0.3">
      <c r="A8" s="481"/>
      <c r="B8" s="482"/>
      <c r="C8" s="482"/>
      <c r="D8" s="482"/>
      <c r="E8" s="482"/>
      <c r="F8" s="482"/>
      <c r="G8" s="482"/>
      <c r="H8" s="482"/>
      <c r="I8" s="483"/>
      <c r="J8" s="33"/>
    </row>
    <row r="9" spans="1:10" ht="12.75" customHeight="1" x14ac:dyDescent="0.3">
      <c r="A9" s="487" t="s">
        <v>5</v>
      </c>
      <c r="B9" s="491" t="s">
        <v>23</v>
      </c>
      <c r="C9" s="492"/>
      <c r="D9" s="484" t="s">
        <v>24</v>
      </c>
      <c r="E9" s="484" t="s">
        <v>25</v>
      </c>
      <c r="F9" s="490" t="s">
        <v>26</v>
      </c>
      <c r="G9" s="496" t="s">
        <v>27</v>
      </c>
      <c r="H9" s="496"/>
      <c r="I9" s="488" t="s">
        <v>28</v>
      </c>
      <c r="J9" s="33"/>
    </row>
    <row r="10" spans="1:10" ht="13" x14ac:dyDescent="0.3">
      <c r="A10" s="487"/>
      <c r="B10" s="289" t="s">
        <v>29</v>
      </c>
      <c r="C10" s="289" t="s">
        <v>30</v>
      </c>
      <c r="D10" s="484"/>
      <c r="E10" s="484"/>
      <c r="F10" s="490"/>
      <c r="G10" s="438" t="s">
        <v>31</v>
      </c>
      <c r="H10" s="439" t="s">
        <v>32</v>
      </c>
      <c r="I10" s="488"/>
      <c r="J10" s="33"/>
    </row>
    <row r="11" spans="1:10" ht="13" x14ac:dyDescent="0.3">
      <c r="A11" s="137" t="s">
        <v>8</v>
      </c>
      <c r="B11" s="131"/>
      <c r="C11" s="298"/>
      <c r="D11" s="144" t="s">
        <v>33</v>
      </c>
      <c r="E11" s="440"/>
      <c r="F11" s="440"/>
      <c r="G11" s="440"/>
      <c r="H11" s="441"/>
      <c r="I11" s="442">
        <f>SUM(I13:I19)</f>
        <v>45268.85</v>
      </c>
      <c r="J11" s="33"/>
    </row>
    <row r="12" spans="1:10" ht="13" x14ac:dyDescent="0.3">
      <c r="A12" s="139" t="s">
        <v>34</v>
      </c>
      <c r="B12" s="132"/>
      <c r="C12" s="300"/>
      <c r="D12" s="145" t="s">
        <v>35</v>
      </c>
      <c r="E12" s="443"/>
      <c r="F12" s="444"/>
      <c r="G12" s="445"/>
      <c r="H12" s="446"/>
      <c r="I12" s="447"/>
      <c r="J12" s="33"/>
    </row>
    <row r="13" spans="1:10" ht="24" x14ac:dyDescent="0.3">
      <c r="A13" s="138" t="s">
        <v>36</v>
      </c>
      <c r="B13" s="456" t="s">
        <v>619</v>
      </c>
      <c r="C13" s="299" t="s">
        <v>38</v>
      </c>
      <c r="D13" s="142" t="s">
        <v>39</v>
      </c>
      <c r="E13" s="141" t="s">
        <v>40</v>
      </c>
      <c r="F13" s="448">
        <f>'MC REV'!G15</f>
        <v>6</v>
      </c>
      <c r="G13" s="448">
        <v>225</v>
      </c>
      <c r="H13" s="448">
        <f>TRUNC(G13*1.2614,2)</f>
        <v>283.81</v>
      </c>
      <c r="I13" s="448">
        <f>TRUNC(H13*F13,2)</f>
        <v>1702.86</v>
      </c>
      <c r="J13" s="33"/>
    </row>
    <row r="14" spans="1:10" ht="13" x14ac:dyDescent="0.3">
      <c r="A14" s="139" t="s">
        <v>41</v>
      </c>
      <c r="B14" s="132"/>
      <c r="C14" s="300"/>
      <c r="D14" s="145" t="s">
        <v>42</v>
      </c>
      <c r="E14" s="443"/>
      <c r="F14" s="444"/>
      <c r="G14" s="445"/>
      <c r="H14" s="446"/>
      <c r="I14" s="447"/>
      <c r="J14" s="33"/>
    </row>
    <row r="15" spans="1:10" ht="13" x14ac:dyDescent="0.3">
      <c r="A15" s="138" t="s">
        <v>43</v>
      </c>
      <c r="B15" s="140" t="s">
        <v>44</v>
      </c>
      <c r="C15" s="437" t="s">
        <v>45</v>
      </c>
      <c r="D15" s="142" t="s">
        <v>9</v>
      </c>
      <c r="E15" s="141" t="s">
        <v>46</v>
      </c>
      <c r="F15" s="448">
        <v>1</v>
      </c>
      <c r="G15" s="448">
        <f>'CP01'!L49</f>
        <v>9774.16</v>
      </c>
      <c r="H15" s="448">
        <f>TRUNC(G15*1.2614,2)</f>
        <v>12329.12</v>
      </c>
      <c r="I15" s="448">
        <f>TRUNC(H15*F15,2)</f>
        <v>12329.12</v>
      </c>
      <c r="J15" s="33"/>
    </row>
    <row r="16" spans="1:10" ht="13" x14ac:dyDescent="0.3">
      <c r="A16" s="139" t="s">
        <v>47</v>
      </c>
      <c r="B16" s="132"/>
      <c r="C16" s="300"/>
      <c r="D16" s="145" t="s">
        <v>48</v>
      </c>
      <c r="E16" s="443"/>
      <c r="F16" s="444"/>
      <c r="G16" s="445"/>
      <c r="H16" s="446"/>
      <c r="I16" s="447"/>
      <c r="J16" s="33"/>
    </row>
    <row r="17" spans="1:10" ht="26" x14ac:dyDescent="0.3">
      <c r="A17" s="138" t="s">
        <v>49</v>
      </c>
      <c r="B17" s="140" t="s">
        <v>44</v>
      </c>
      <c r="C17" s="437" t="s">
        <v>50</v>
      </c>
      <c r="D17" s="142" t="s">
        <v>51</v>
      </c>
      <c r="E17" s="141" t="s">
        <v>46</v>
      </c>
      <c r="F17" s="448">
        <f>'MC REV'!G27</f>
        <v>1</v>
      </c>
      <c r="G17" s="448">
        <f>'CP02'!L100</f>
        <v>12569.2914</v>
      </c>
      <c r="H17" s="448">
        <f>TRUNC(G17*1.2614,2)</f>
        <v>15854.9</v>
      </c>
      <c r="I17" s="448">
        <f>TRUNC(H17*F17,2)</f>
        <v>15854.9</v>
      </c>
      <c r="J17" s="33"/>
    </row>
    <row r="18" spans="1:10" ht="13" x14ac:dyDescent="0.3">
      <c r="A18" s="139" t="s">
        <v>52</v>
      </c>
      <c r="B18" s="132"/>
      <c r="C18" s="300"/>
      <c r="D18" s="145" t="s">
        <v>53</v>
      </c>
      <c r="E18" s="443"/>
      <c r="F18" s="444"/>
      <c r="G18" s="445"/>
      <c r="H18" s="446"/>
      <c r="I18" s="447"/>
      <c r="J18" s="33"/>
    </row>
    <row r="19" spans="1:10" ht="26" x14ac:dyDescent="0.3">
      <c r="A19" s="138" t="s">
        <v>54</v>
      </c>
      <c r="B19" s="457" t="s">
        <v>55</v>
      </c>
      <c r="C19" s="299">
        <v>10832</v>
      </c>
      <c r="D19" s="142" t="s">
        <v>56</v>
      </c>
      <c r="E19" s="141" t="s">
        <v>40</v>
      </c>
      <c r="F19" s="448">
        <f>'MC REV'!G33</f>
        <v>23306.02</v>
      </c>
      <c r="G19" s="448">
        <v>0.53</v>
      </c>
      <c r="H19" s="448">
        <f>TRUNC(G19*1.2614,2)</f>
        <v>0.66</v>
      </c>
      <c r="I19" s="448">
        <f>TRUNC(H19*F19,2)</f>
        <v>15381.97</v>
      </c>
      <c r="J19" s="33"/>
    </row>
    <row r="20" spans="1:10" ht="12.75" customHeight="1" x14ac:dyDescent="0.3">
      <c r="A20" s="137" t="s">
        <v>10</v>
      </c>
      <c r="B20" s="131"/>
      <c r="C20" s="298"/>
      <c r="D20" s="493" t="s">
        <v>57</v>
      </c>
      <c r="E20" s="494"/>
      <c r="F20" s="494"/>
      <c r="G20" s="494"/>
      <c r="H20" s="495"/>
      <c r="I20" s="442">
        <f>SUM(I21:I37)</f>
        <v>518930.44999999995</v>
      </c>
      <c r="J20" s="3"/>
    </row>
    <row r="21" spans="1:10" ht="13" x14ac:dyDescent="0.3">
      <c r="A21" s="139" t="s">
        <v>58</v>
      </c>
      <c r="B21" s="132"/>
      <c r="C21" s="300"/>
      <c r="D21" s="145" t="s">
        <v>59</v>
      </c>
      <c r="E21" s="443"/>
      <c r="F21" s="444"/>
      <c r="G21" s="445"/>
      <c r="H21" s="446"/>
      <c r="I21" s="447"/>
      <c r="J21" s="3"/>
    </row>
    <row r="22" spans="1:10" ht="39" x14ac:dyDescent="0.3">
      <c r="A22" s="138" t="s">
        <v>60</v>
      </c>
      <c r="B22" s="456" t="s">
        <v>619</v>
      </c>
      <c r="C22" s="299">
        <v>73672</v>
      </c>
      <c r="D22" s="142" t="s">
        <v>61</v>
      </c>
      <c r="E22" s="141" t="s">
        <v>40</v>
      </c>
      <c r="F22" s="448">
        <f>'MC REV'!G40</f>
        <v>23306.02</v>
      </c>
      <c r="G22" s="448">
        <v>0.56000000000000005</v>
      </c>
      <c r="H22" s="448">
        <f>TRUNC(G22*1.2614,2)</f>
        <v>0.7</v>
      </c>
      <c r="I22" s="448">
        <f>TRUNC(H22*F22,2)</f>
        <v>16314.21</v>
      </c>
      <c r="J22" s="3"/>
    </row>
    <row r="23" spans="1:10" ht="39" x14ac:dyDescent="0.3">
      <c r="A23" s="138" t="s">
        <v>62</v>
      </c>
      <c r="B23" s="296" t="s">
        <v>37</v>
      </c>
      <c r="C23" s="299">
        <v>83338</v>
      </c>
      <c r="D23" s="142" t="s">
        <v>63</v>
      </c>
      <c r="E23" s="141" t="s">
        <v>64</v>
      </c>
      <c r="F23" s="448">
        <f>'MC REV'!G45</f>
        <v>22499.72</v>
      </c>
      <c r="G23" s="448">
        <v>2.27</v>
      </c>
      <c r="H23" s="448">
        <f>TRUNC(G23*1.2614,2)</f>
        <v>2.86</v>
      </c>
      <c r="I23" s="448">
        <f>TRUNC(H23*F23,2)</f>
        <v>64349.19</v>
      </c>
      <c r="J23" s="3"/>
    </row>
    <row r="24" spans="1:10" ht="39" x14ac:dyDescent="0.3">
      <c r="A24" s="138" t="s">
        <v>65</v>
      </c>
      <c r="B24" s="296" t="s">
        <v>37</v>
      </c>
      <c r="C24" s="299">
        <v>72888</v>
      </c>
      <c r="D24" s="142" t="s">
        <v>66</v>
      </c>
      <c r="E24" s="141" t="s">
        <v>64</v>
      </c>
      <c r="F24" s="448">
        <f>'MC REV'!G50</f>
        <v>22499.72</v>
      </c>
      <c r="G24" s="448">
        <v>0.89</v>
      </c>
      <c r="H24" s="448">
        <f>TRUNC(G24*1.2614,2)</f>
        <v>1.1200000000000001</v>
      </c>
      <c r="I24" s="448">
        <f>TRUNC(H24*F24,2)</f>
        <v>25199.68</v>
      </c>
      <c r="J24" s="3"/>
    </row>
    <row r="25" spans="1:10" ht="13" x14ac:dyDescent="0.3">
      <c r="A25" s="139" t="s">
        <v>67</v>
      </c>
      <c r="B25" s="132"/>
      <c r="C25" s="300"/>
      <c r="D25" s="145" t="s">
        <v>68</v>
      </c>
      <c r="E25" s="443"/>
      <c r="F25" s="444"/>
      <c r="G25" s="445"/>
      <c r="H25" s="446"/>
      <c r="I25" s="447"/>
      <c r="J25" s="3"/>
    </row>
    <row r="26" spans="1:10" ht="91" x14ac:dyDescent="0.3">
      <c r="A26" s="138" t="s">
        <v>69</v>
      </c>
      <c r="B26" s="456" t="s">
        <v>619</v>
      </c>
      <c r="C26" s="299">
        <v>90085</v>
      </c>
      <c r="D26" s="142" t="s">
        <v>70</v>
      </c>
      <c r="E26" s="141" t="s">
        <v>64</v>
      </c>
      <c r="F26" s="448">
        <v>2028</v>
      </c>
      <c r="G26" s="448">
        <v>10.220000000000001</v>
      </c>
      <c r="H26" s="448">
        <f>TRUNC(G26*1.2614,2)</f>
        <v>12.89</v>
      </c>
      <c r="I26" s="448">
        <f>TRUNC(H26*F26,2)</f>
        <v>26140.92</v>
      </c>
      <c r="J26" s="3"/>
    </row>
    <row r="27" spans="1:10" ht="65" x14ac:dyDescent="0.3">
      <c r="A27" s="138" t="s">
        <v>71</v>
      </c>
      <c r="B27" s="456" t="s">
        <v>619</v>
      </c>
      <c r="C27" s="299">
        <v>94305</v>
      </c>
      <c r="D27" s="142" t="s">
        <v>72</v>
      </c>
      <c r="E27" s="141" t="s">
        <v>64</v>
      </c>
      <c r="F27" s="448">
        <v>2028</v>
      </c>
      <c r="G27" s="448">
        <v>63.46</v>
      </c>
      <c r="H27" s="448">
        <f>TRUNC(G27*1.2614,2)</f>
        <v>80.040000000000006</v>
      </c>
      <c r="I27" s="448">
        <f>TRUNC(H27*F27,2)</f>
        <v>162321.12</v>
      </c>
      <c r="J27" s="3"/>
    </row>
    <row r="28" spans="1:10" ht="39" x14ac:dyDescent="0.3">
      <c r="A28" s="138" t="s">
        <v>73</v>
      </c>
      <c r="B28" s="296" t="s">
        <v>37</v>
      </c>
      <c r="C28" s="299">
        <v>72888</v>
      </c>
      <c r="D28" s="142" t="s">
        <v>74</v>
      </c>
      <c r="E28" s="141" t="s">
        <v>64</v>
      </c>
      <c r="F28" s="448">
        <f>'MC REV'!G66</f>
        <v>2128.5</v>
      </c>
      <c r="G28" s="448">
        <v>0.89</v>
      </c>
      <c r="H28" s="448">
        <f t="shared" ref="H28" si="0">TRUNC(G28*1.2614,2)</f>
        <v>1.1200000000000001</v>
      </c>
      <c r="I28" s="448">
        <f t="shared" ref="I28" si="1">TRUNC(H28*F28,2)</f>
        <v>2383.92</v>
      </c>
      <c r="J28" s="3"/>
    </row>
    <row r="29" spans="1:10" ht="13" x14ac:dyDescent="0.3">
      <c r="A29" s="139" t="s">
        <v>75</v>
      </c>
      <c r="B29" s="132"/>
      <c r="C29" s="300"/>
      <c r="D29" s="145" t="s">
        <v>76</v>
      </c>
      <c r="E29" s="443"/>
      <c r="F29" s="444"/>
      <c r="G29" s="445"/>
      <c r="H29" s="446"/>
      <c r="I29" s="447"/>
      <c r="J29" s="3"/>
    </row>
    <row r="30" spans="1:10" ht="78" x14ac:dyDescent="0.3">
      <c r="A30" s="138" t="s">
        <v>77</v>
      </c>
      <c r="B30" s="296" t="s">
        <v>37</v>
      </c>
      <c r="C30" s="296">
        <v>89889</v>
      </c>
      <c r="D30" s="143" t="s">
        <v>78</v>
      </c>
      <c r="E30" s="141" t="s">
        <v>64</v>
      </c>
      <c r="F30" s="448">
        <f>'MC REV'!G72</f>
        <v>7744.77</v>
      </c>
      <c r="G30" s="448">
        <v>7.85</v>
      </c>
      <c r="H30" s="448">
        <f t="shared" ref="H30:H33" si="2">TRUNC(G30*1.2614,2)</f>
        <v>9.9</v>
      </c>
      <c r="I30" s="448">
        <f t="shared" ref="I30:I33" si="3">TRUNC(H30*F30,2)</f>
        <v>76673.22</v>
      </c>
      <c r="J30" s="3"/>
    </row>
    <row r="31" spans="1:10" ht="39" x14ac:dyDescent="0.3">
      <c r="A31" s="138" t="s">
        <v>79</v>
      </c>
      <c r="B31" s="296" t="s">
        <v>55</v>
      </c>
      <c r="C31" s="297" t="s">
        <v>80</v>
      </c>
      <c r="D31" s="143" t="s">
        <v>81</v>
      </c>
      <c r="E31" s="141" t="s">
        <v>64</v>
      </c>
      <c r="F31" s="448">
        <f>'MC REV'!G77</f>
        <v>7744.77</v>
      </c>
      <c r="G31" s="448">
        <v>3.19</v>
      </c>
      <c r="H31" s="448">
        <f t="shared" ref="H31" si="4">TRUNC(G31*1.2614,2)</f>
        <v>4.0199999999999996</v>
      </c>
      <c r="I31" s="448">
        <f t="shared" ref="I31" si="5">TRUNC(H31*F31,2)</f>
        <v>31133.97</v>
      </c>
      <c r="J31" s="3"/>
    </row>
    <row r="32" spans="1:10" ht="65" x14ac:dyDescent="0.3">
      <c r="A32" s="138" t="s">
        <v>82</v>
      </c>
      <c r="B32" s="456" t="s">
        <v>619</v>
      </c>
      <c r="C32" s="299">
        <v>94267</v>
      </c>
      <c r="D32" s="143" t="s">
        <v>83</v>
      </c>
      <c r="E32" s="141"/>
      <c r="F32" s="448">
        <f>'MC REV'!G82</f>
        <v>258</v>
      </c>
      <c r="G32" s="448">
        <v>43.03</v>
      </c>
      <c r="H32" s="448">
        <f t="shared" si="2"/>
        <v>54.27</v>
      </c>
      <c r="I32" s="448">
        <f t="shared" si="3"/>
        <v>14001.66</v>
      </c>
      <c r="J32" s="3"/>
    </row>
    <row r="33" spans="1:10" ht="26" x14ac:dyDescent="0.3">
      <c r="A33" s="138" t="s">
        <v>84</v>
      </c>
      <c r="B33" s="296" t="s">
        <v>37</v>
      </c>
      <c r="C33" s="299" t="s">
        <v>85</v>
      </c>
      <c r="D33" s="143" t="s">
        <v>86</v>
      </c>
      <c r="E33" s="141"/>
      <c r="F33" s="448">
        <f>'MC REV'!G87</f>
        <v>52.82</v>
      </c>
      <c r="G33" s="448">
        <v>71.8</v>
      </c>
      <c r="H33" s="448">
        <f t="shared" si="2"/>
        <v>90.56</v>
      </c>
      <c r="I33" s="448">
        <f t="shared" si="3"/>
        <v>4783.37</v>
      </c>
      <c r="J33" s="3"/>
    </row>
    <row r="34" spans="1:10" ht="13" x14ac:dyDescent="0.3">
      <c r="A34" s="139" t="s">
        <v>87</v>
      </c>
      <c r="B34" s="132"/>
      <c r="C34" s="300"/>
      <c r="D34" s="145" t="s">
        <v>88</v>
      </c>
      <c r="E34" s="449"/>
      <c r="F34" s="444"/>
      <c r="G34" s="445"/>
      <c r="H34" s="446"/>
      <c r="I34" s="447"/>
      <c r="J34" s="3"/>
    </row>
    <row r="35" spans="1:10" ht="78" x14ac:dyDescent="0.3">
      <c r="A35" s="138" t="s">
        <v>89</v>
      </c>
      <c r="B35" s="456" t="s">
        <v>619</v>
      </c>
      <c r="C35" s="299">
        <v>90082</v>
      </c>
      <c r="D35" s="142" t="s">
        <v>90</v>
      </c>
      <c r="E35" s="141" t="s">
        <v>64</v>
      </c>
      <c r="F35" s="448">
        <f>'MC REV'!G93</f>
        <v>2703.34</v>
      </c>
      <c r="G35" s="448">
        <v>10.220000000000001</v>
      </c>
      <c r="H35" s="448">
        <f>TRUNC(G35*1.2614,2)</f>
        <v>12.89</v>
      </c>
      <c r="I35" s="448">
        <f>TRUNC(H35*F35,2)</f>
        <v>34846.050000000003</v>
      </c>
      <c r="J35" s="3"/>
    </row>
    <row r="36" spans="1:10" ht="39" x14ac:dyDescent="0.3">
      <c r="A36" s="138" t="s">
        <v>91</v>
      </c>
      <c r="B36" s="456" t="s">
        <v>619</v>
      </c>
      <c r="C36" s="299">
        <v>94962</v>
      </c>
      <c r="D36" s="142" t="s">
        <v>92</v>
      </c>
      <c r="E36" s="141" t="s">
        <v>64</v>
      </c>
      <c r="F36" s="448">
        <f>'MC REV'!G101</f>
        <v>11.129999999999999</v>
      </c>
      <c r="G36" s="448">
        <v>327.60000000000002</v>
      </c>
      <c r="H36" s="448">
        <f>TRUNC(G36*1.2614,2)</f>
        <v>413.23</v>
      </c>
      <c r="I36" s="448">
        <f>TRUNC(H36*F36,2)</f>
        <v>4599.24</v>
      </c>
      <c r="J36" s="3"/>
    </row>
    <row r="37" spans="1:10" ht="26" x14ac:dyDescent="0.3">
      <c r="A37" s="138" t="s">
        <v>93</v>
      </c>
      <c r="B37" s="296" t="s">
        <v>37</v>
      </c>
      <c r="C37" s="299">
        <v>73611</v>
      </c>
      <c r="D37" s="142" t="s">
        <v>94</v>
      </c>
      <c r="E37" s="141" t="s">
        <v>64</v>
      </c>
      <c r="F37" s="448">
        <f>'MC REV'!G115</f>
        <v>129.73999999999998</v>
      </c>
      <c r="G37" s="448">
        <v>343.31</v>
      </c>
      <c r="H37" s="448">
        <f>TRUNC(G37*1.2614,2)</f>
        <v>433.05</v>
      </c>
      <c r="I37" s="448">
        <f>TRUNC(H37*F37,2)</f>
        <v>56183.9</v>
      </c>
      <c r="J37" s="3"/>
    </row>
    <row r="38" spans="1:10" ht="14.5" x14ac:dyDescent="0.35">
      <c r="A38" s="476" t="s">
        <v>16</v>
      </c>
      <c r="B38" s="477"/>
      <c r="C38" s="477"/>
      <c r="D38" s="477"/>
      <c r="E38" s="477"/>
      <c r="F38" s="477"/>
      <c r="G38" s="477"/>
      <c r="H38" s="497"/>
      <c r="I38" s="66">
        <f>SUM(I11:I37)/2</f>
        <v>564199.29999999993</v>
      </c>
      <c r="J38" s="33"/>
    </row>
    <row r="39" spans="1:10" x14ac:dyDescent="0.25">
      <c r="A39" s="450"/>
      <c r="B39" s="450"/>
      <c r="C39" s="450"/>
      <c r="D39" s="451"/>
      <c r="E39" s="452"/>
      <c r="F39" s="453"/>
      <c r="G39" s="453"/>
      <c r="H39" s="453"/>
      <c r="I39" s="453"/>
      <c r="J39" s="33"/>
    </row>
  </sheetData>
  <mergeCells count="18">
    <mergeCell ref="D20:H20"/>
    <mergeCell ref="G9:H9"/>
    <mergeCell ref="A38:H38"/>
    <mergeCell ref="A1:I1"/>
    <mergeCell ref="A2:I2"/>
    <mergeCell ref="A3:I3"/>
    <mergeCell ref="A4:I5"/>
    <mergeCell ref="B6:F6"/>
    <mergeCell ref="G6:I6"/>
    <mergeCell ref="B7:F7"/>
    <mergeCell ref="G7:I7"/>
    <mergeCell ref="A8:I8"/>
    <mergeCell ref="A9:A10"/>
    <mergeCell ref="D9:D10"/>
    <mergeCell ref="I9:I10"/>
    <mergeCell ref="E9:E10"/>
    <mergeCell ref="F9:F10"/>
    <mergeCell ref="B9:C9"/>
  </mergeCells>
  <phoneticPr fontId="37" type="noConversion"/>
  <pageMargins left="0.69166666666666665" right="0.52500000000000002" top="0.76666666666666672" bottom="0.78740157480314965" header="0.39302083333333332" footer="0.51181102362204722"/>
  <pageSetup paperSize="9" scale="74" orientation="portrait" horizontalDpi="360" verticalDpi="360" r:id="rId1"/>
  <headerFooter alignWithMargins="0">
    <oddHeader xml:space="preserve">&amp;L
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I116"/>
  <sheetViews>
    <sheetView showGridLines="0" topLeftCell="A97" zoomScaleNormal="100" zoomScaleSheetLayoutView="70" workbookViewId="0">
      <selection activeCell="D35" sqref="D35"/>
    </sheetView>
  </sheetViews>
  <sheetFormatPr defaultRowHeight="13" x14ac:dyDescent="0.3"/>
  <cols>
    <col min="1" max="1" width="6.7265625" style="147" bestFit="1" customWidth="1"/>
    <col min="2" max="2" width="39" customWidth="1"/>
    <col min="3" max="6" width="9.7265625" customWidth="1"/>
    <col min="7" max="7" width="11" bestFit="1" customWidth="1"/>
    <col min="8" max="8" width="3.1796875" bestFit="1" customWidth="1"/>
  </cols>
  <sheetData>
    <row r="1" spans="1:9" ht="15.75" customHeight="1" x14ac:dyDescent="0.35">
      <c r="A1" s="507" t="str">
        <f>BASE!A1</f>
        <v>PREFEITURA MUNICIPAL DE BOM CONSELHO</v>
      </c>
      <c r="B1" s="508"/>
      <c r="C1" s="508"/>
      <c r="D1" s="508"/>
      <c r="E1" s="508"/>
      <c r="F1" s="508"/>
      <c r="G1" s="508"/>
      <c r="H1" s="509"/>
      <c r="I1" s="4"/>
    </row>
    <row r="2" spans="1:9" ht="12.75" customHeight="1" x14ac:dyDescent="0.3">
      <c r="A2" s="499"/>
      <c r="B2" s="500"/>
      <c r="C2" s="500"/>
      <c r="D2" s="500"/>
      <c r="E2" s="500"/>
      <c r="F2" s="500"/>
      <c r="G2" s="500"/>
      <c r="H2" s="501"/>
      <c r="I2" s="4"/>
    </row>
    <row r="3" spans="1:9" ht="15.5" x14ac:dyDescent="0.25">
      <c r="A3" s="510" t="s">
        <v>95</v>
      </c>
      <c r="B3" s="511"/>
      <c r="C3" s="511"/>
      <c r="D3" s="511"/>
      <c r="E3" s="511"/>
      <c r="F3" s="511"/>
      <c r="G3" s="511"/>
      <c r="H3" s="512"/>
      <c r="I3" s="4"/>
    </row>
    <row r="4" spans="1:9" ht="12.75" customHeight="1" x14ac:dyDescent="0.25">
      <c r="A4" s="513"/>
      <c r="B4" s="514"/>
      <c r="C4" s="514"/>
      <c r="D4" s="514"/>
      <c r="E4" s="514"/>
      <c r="F4" s="514"/>
      <c r="G4" s="514"/>
      <c r="H4" s="515"/>
    </row>
    <row r="5" spans="1:9" ht="12.75" customHeight="1" x14ac:dyDescent="0.25">
      <c r="A5" s="516"/>
      <c r="B5" s="517"/>
      <c r="C5" s="517"/>
      <c r="D5" s="517"/>
      <c r="E5" s="517"/>
      <c r="F5" s="517"/>
      <c r="G5" s="517"/>
      <c r="H5" s="518"/>
    </row>
    <row r="6" spans="1:9" x14ac:dyDescent="0.3">
      <c r="A6" s="65" t="s">
        <v>2</v>
      </c>
      <c r="B6" s="519" t="str">
        <f>BASE!B6</f>
        <v>EXECUÇÃO DOS SERVIÇOS DE CONSTRUÇÃO DE BARRAGEM DE TERRA NO DISTRITO DE LOGRADOURO DOS LEOS</v>
      </c>
      <c r="C6" s="519"/>
      <c r="D6" s="519"/>
      <c r="E6" s="519"/>
      <c r="F6" s="519"/>
      <c r="G6" s="519"/>
      <c r="H6" s="520"/>
    </row>
    <row r="7" spans="1:9" x14ac:dyDescent="0.3">
      <c r="A7" s="65" t="s">
        <v>4</v>
      </c>
      <c r="B7" s="498" t="str">
        <f>BASE!B7</f>
        <v>DISTRITO DE LOGRADOURO DOS LEÕES, BOM CONSELHO - PE</v>
      </c>
      <c r="C7" s="498"/>
      <c r="D7" s="498"/>
      <c r="E7" s="498"/>
      <c r="F7" s="67"/>
      <c r="G7" s="502"/>
      <c r="H7" s="503"/>
    </row>
    <row r="8" spans="1:9" ht="12.75" customHeight="1" x14ac:dyDescent="0.3">
      <c r="A8" s="499"/>
      <c r="B8" s="500"/>
      <c r="C8" s="500"/>
      <c r="D8" s="500"/>
      <c r="E8" s="500"/>
      <c r="F8" s="500"/>
      <c r="G8" s="500"/>
      <c r="H8" s="501"/>
    </row>
    <row r="9" spans="1:9" ht="12.75" customHeight="1" x14ac:dyDescent="0.3">
      <c r="A9" s="288" t="s">
        <v>8</v>
      </c>
      <c r="B9" s="149" t="s">
        <v>96</v>
      </c>
      <c r="C9" s="150"/>
      <c r="D9" s="150"/>
      <c r="E9" s="150"/>
      <c r="F9" s="150"/>
      <c r="G9" s="150"/>
      <c r="H9" s="151"/>
    </row>
    <row r="10" spans="1:9" ht="12.75" customHeight="1" x14ac:dyDescent="0.3">
      <c r="A10" s="291" t="str">
        <f>BASE!A12</f>
        <v>1.1</v>
      </c>
      <c r="B10" s="292" t="str">
        <f>BASE!D12</f>
        <v>SERVIÇOS PRELIMINARES</v>
      </c>
      <c r="C10" s="293"/>
      <c r="D10" s="293"/>
      <c r="E10" s="293"/>
      <c r="F10" s="293"/>
      <c r="G10" s="293"/>
      <c r="H10" s="294"/>
    </row>
    <row r="11" spans="1:9" ht="12.75" customHeight="1" x14ac:dyDescent="0.3">
      <c r="A11" s="146" t="str">
        <f>BASE!A13</f>
        <v>1.1.1</v>
      </c>
      <c r="B11" s="504" t="str">
        <f>BASE!D13</f>
        <v>PLACA DE OBRA EM CHAPA DE ACO GALVANIZADO</v>
      </c>
      <c r="C11" s="505"/>
      <c r="D11" s="506"/>
      <c r="E11" s="68"/>
      <c r="F11" s="68"/>
      <c r="G11" s="68"/>
      <c r="H11" s="69"/>
    </row>
    <row r="12" spans="1:9" ht="12.75" customHeight="1" x14ac:dyDescent="0.3">
      <c r="A12" s="146"/>
      <c r="B12" s="70" t="s">
        <v>97</v>
      </c>
      <c r="C12" s="70" t="s">
        <v>46</v>
      </c>
      <c r="D12" s="70" t="s">
        <v>98</v>
      </c>
      <c r="E12" s="70" t="s">
        <v>99</v>
      </c>
      <c r="F12" s="70" t="s">
        <v>100</v>
      </c>
      <c r="G12" s="70" t="s">
        <v>101</v>
      </c>
      <c r="H12" s="69"/>
    </row>
    <row r="13" spans="1:9" ht="12.75" customHeight="1" x14ac:dyDescent="0.3">
      <c r="A13" s="146"/>
      <c r="B13" s="71"/>
      <c r="C13" s="80">
        <v>1</v>
      </c>
      <c r="D13" s="72"/>
      <c r="E13" s="72">
        <v>3</v>
      </c>
      <c r="F13" s="72">
        <v>2</v>
      </c>
      <c r="G13" s="73">
        <f>ROUND(IF(PRODUCT(IF(C13=0,1,C13),IF(D13=0,1,D13),IF(E13=0,1,E13),IF(F13=0,1,F13))=1,0,PRODUCT(IF(C13=0,1,C13),IF(D13=0,1,D13),IF(E13=0,1,E13),IF(F13=0,1,F13))),2)</f>
        <v>6</v>
      </c>
      <c r="H13" s="69"/>
    </row>
    <row r="14" spans="1:9" ht="12.75" customHeight="1" x14ac:dyDescent="0.3">
      <c r="A14" s="146"/>
      <c r="B14" s="71"/>
      <c r="C14" s="74"/>
      <c r="D14" s="74"/>
      <c r="E14" s="74"/>
      <c r="F14" s="74"/>
      <c r="G14" s="73">
        <f>ROUND(IF(PRODUCT(IF(C14=0,1,C14),IF(D14=0,1,D14),IF(E14=0,1,E14),IF(F14=0,1,F14))=1,0,PRODUCT(IF(C14=0,1,C14),IF(D14=0,1,D14),IF(E14=0,1,E14),IF(F14=0,1,F14))),2)</f>
        <v>0</v>
      </c>
      <c r="H14" s="69"/>
    </row>
    <row r="15" spans="1:9" ht="12.75" customHeight="1" x14ac:dyDescent="0.3">
      <c r="A15" s="146"/>
      <c r="B15" s="68"/>
      <c r="C15" s="75"/>
      <c r="D15" s="147"/>
      <c r="E15" s="76" t="s">
        <v>101</v>
      </c>
      <c r="F15" s="77" t="s">
        <v>102</v>
      </c>
      <c r="G15" s="78">
        <f>SUM(G13:G14)</f>
        <v>6</v>
      </c>
      <c r="H15" s="79" t="s">
        <v>40</v>
      </c>
    </row>
    <row r="16" spans="1:9" ht="12.75" customHeight="1" x14ac:dyDescent="0.3">
      <c r="A16" s="291" t="str">
        <f>BASE!A14</f>
        <v>1.2</v>
      </c>
      <c r="B16" s="292" t="str">
        <f>BASE!D14</f>
        <v xml:space="preserve">ADMINISTRAÇÃO LOCAL </v>
      </c>
      <c r="C16" s="293"/>
      <c r="D16" s="293"/>
      <c r="E16" s="293"/>
      <c r="F16" s="293"/>
      <c r="G16" s="293"/>
      <c r="H16" s="294"/>
    </row>
    <row r="17" spans="1:8" ht="12.75" customHeight="1" x14ac:dyDescent="0.3">
      <c r="A17" s="146" t="str">
        <f>BASE!A15</f>
        <v>1.2.1</v>
      </c>
      <c r="B17" s="504" t="str">
        <f>BASE!D15</f>
        <v>ADMINISTRAÇÃO LOCAL DOS SERVIÇOS</v>
      </c>
      <c r="C17" s="505"/>
      <c r="D17" s="506"/>
      <c r="E17" s="68"/>
      <c r="F17" s="68"/>
      <c r="G17" s="68"/>
      <c r="H17" s="69"/>
    </row>
    <row r="18" spans="1:8" ht="12.75" customHeight="1" x14ac:dyDescent="0.3">
      <c r="A18" s="146"/>
      <c r="B18" s="70" t="s">
        <v>97</v>
      </c>
      <c r="C18" s="70" t="s">
        <v>46</v>
      </c>
      <c r="D18" s="70" t="s">
        <v>98</v>
      </c>
      <c r="E18" s="70" t="s">
        <v>99</v>
      </c>
      <c r="F18" s="70" t="s">
        <v>100</v>
      </c>
      <c r="G18" s="70" t="s">
        <v>101</v>
      </c>
      <c r="H18" s="69"/>
    </row>
    <row r="19" spans="1:8" ht="12.75" customHeight="1" x14ac:dyDescent="0.3">
      <c r="A19" s="146"/>
      <c r="B19" s="71"/>
      <c r="C19" s="80">
        <v>1</v>
      </c>
      <c r="D19" s="72"/>
      <c r="E19" s="72"/>
      <c r="F19" s="72"/>
      <c r="G19" s="73">
        <f>SUM(C19:F19)</f>
        <v>1</v>
      </c>
      <c r="H19" s="69"/>
    </row>
    <row r="20" spans="1:8" ht="12.75" customHeight="1" x14ac:dyDescent="0.3">
      <c r="A20" s="146"/>
      <c r="B20" s="71"/>
      <c r="C20" s="74"/>
      <c r="D20" s="74"/>
      <c r="E20" s="74"/>
      <c r="F20" s="74"/>
      <c r="G20" s="73">
        <f>ROUND(IF(PRODUCT(IF(C20=0,1,C20),IF(D20=0,1,D20),IF(E20=0,1,E20),IF(F20=0,1,F20))=1,0,PRODUCT(IF(C20=0,1,C20),IF(D20=0,1,D20),IF(E20=0,1,E20),IF(F20=0,1,F20))),2)</f>
        <v>0</v>
      </c>
      <c r="H20" s="69"/>
    </row>
    <row r="21" spans="1:8" ht="12.75" customHeight="1" x14ac:dyDescent="0.3">
      <c r="A21" s="146"/>
      <c r="B21" s="68"/>
      <c r="C21" s="75"/>
      <c r="D21" s="147"/>
      <c r="E21" s="76" t="s">
        <v>101</v>
      </c>
      <c r="F21" s="77" t="s">
        <v>102</v>
      </c>
      <c r="G21" s="78">
        <f>SUM(G19:G20)</f>
        <v>1</v>
      </c>
      <c r="H21" s="79" t="s">
        <v>46</v>
      </c>
    </row>
    <row r="22" spans="1:8" ht="12.75" customHeight="1" x14ac:dyDescent="0.3">
      <c r="A22" s="291" t="str">
        <f>BASE!A16</f>
        <v>1.3</v>
      </c>
      <c r="B22" s="292" t="str">
        <f>BASE!D16</f>
        <v>MOBILIZAÇÃO E DESMOBILIZAÇÃO</v>
      </c>
      <c r="C22" s="293"/>
      <c r="D22" s="293"/>
      <c r="E22" s="293"/>
      <c r="F22" s="293"/>
      <c r="G22" s="293"/>
      <c r="H22" s="294"/>
    </row>
    <row r="23" spans="1:8" ht="12.75" customHeight="1" x14ac:dyDescent="0.3">
      <c r="A23" s="146" t="str">
        <f>BASE!A17</f>
        <v>1.3.1</v>
      </c>
      <c r="B23" s="504" t="str">
        <f>BASE!D17</f>
        <v>MOBILIZAÇÃO E DESMOBILIZAÇÃO DE PESSOAL, MÁQUINAS E EQUIPAMENTOS</v>
      </c>
      <c r="C23" s="505"/>
      <c r="D23" s="506"/>
      <c r="E23" s="68"/>
      <c r="F23" s="68"/>
      <c r="G23" s="68"/>
      <c r="H23" s="69"/>
    </row>
    <row r="24" spans="1:8" ht="12.75" customHeight="1" x14ac:dyDescent="0.3">
      <c r="A24" s="146"/>
      <c r="B24" s="70" t="s">
        <v>97</v>
      </c>
      <c r="C24" s="70" t="s">
        <v>46</v>
      </c>
      <c r="D24" s="70" t="s">
        <v>98</v>
      </c>
      <c r="E24" s="70" t="s">
        <v>99</v>
      </c>
      <c r="F24" s="70" t="s">
        <v>100</v>
      </c>
      <c r="G24" s="70" t="s">
        <v>101</v>
      </c>
      <c r="H24" s="69"/>
    </row>
    <row r="25" spans="1:8" ht="12.75" customHeight="1" x14ac:dyDescent="0.3">
      <c r="A25" s="146"/>
      <c r="B25" s="71"/>
      <c r="C25" s="80">
        <v>1</v>
      </c>
      <c r="D25" s="72"/>
      <c r="E25" s="72"/>
      <c r="F25" s="72"/>
      <c r="G25" s="73">
        <f>SUM(C25:F25)</f>
        <v>1</v>
      </c>
      <c r="H25" s="69"/>
    </row>
    <row r="26" spans="1:8" ht="12.75" customHeight="1" x14ac:dyDescent="0.3">
      <c r="A26" s="146"/>
      <c r="B26" s="71"/>
      <c r="C26" s="74"/>
      <c r="D26" s="74"/>
      <c r="E26" s="74"/>
      <c r="F26" s="74"/>
      <c r="G26" s="73">
        <f>ROUND(IF(PRODUCT(IF(C26=0,1,C26),IF(D26=0,1,D26),IF(E26=0,1,E26),IF(F26=0,1,F26))=1,0,PRODUCT(IF(C26=0,1,C26),IF(D26=0,1,D26),IF(E26=0,1,E26),IF(F26=0,1,F26))),2)</f>
        <v>0</v>
      </c>
      <c r="H26" s="69"/>
    </row>
    <row r="27" spans="1:8" ht="12.75" customHeight="1" x14ac:dyDescent="0.3">
      <c r="A27" s="146"/>
      <c r="B27" s="68"/>
      <c r="C27" s="75"/>
      <c r="D27" s="147"/>
      <c r="E27" s="76" t="s">
        <v>101</v>
      </c>
      <c r="F27" s="77" t="s">
        <v>102</v>
      </c>
      <c r="G27" s="78">
        <f>SUM(G25:G26)</f>
        <v>1</v>
      </c>
      <c r="H27" s="79" t="s">
        <v>46</v>
      </c>
    </row>
    <row r="28" spans="1:8" ht="12.75" customHeight="1" x14ac:dyDescent="0.3">
      <c r="A28" s="291" t="str">
        <f>BASE!A18</f>
        <v>1.4</v>
      </c>
      <c r="B28" s="292" t="str">
        <f>BASE!D18</f>
        <v>DIVERSOS</v>
      </c>
      <c r="C28" s="293"/>
      <c r="D28" s="293"/>
      <c r="E28" s="293"/>
      <c r="F28" s="293"/>
      <c r="G28" s="293"/>
      <c r="H28" s="294"/>
    </row>
    <row r="29" spans="1:8" ht="12.75" customHeight="1" x14ac:dyDescent="0.3">
      <c r="A29" s="146" t="str">
        <f>BASE!A19</f>
        <v>1.4.1</v>
      </c>
      <c r="B29" s="504" t="str">
        <f>BASE!D19</f>
        <v>AS BUILT - ELABORAÇÃO DE PROJETO EXECUTIVO - C/DIMENSIONAMENTO DA ESTRUTURA</v>
      </c>
      <c r="C29" s="505"/>
      <c r="D29" s="506"/>
      <c r="E29" s="68"/>
      <c r="F29" s="68"/>
      <c r="G29" s="68"/>
      <c r="H29" s="69"/>
    </row>
    <row r="30" spans="1:8" ht="12.75" customHeight="1" x14ac:dyDescent="0.3">
      <c r="A30" s="146"/>
      <c r="B30" s="70" t="s">
        <v>97</v>
      </c>
      <c r="C30" s="70" t="s">
        <v>46</v>
      </c>
      <c r="D30" s="70" t="s">
        <v>98</v>
      </c>
      <c r="E30" s="70" t="s">
        <v>99</v>
      </c>
      <c r="F30" s="70" t="s">
        <v>100</v>
      </c>
      <c r="G30" s="70" t="s">
        <v>101</v>
      </c>
      <c r="H30" s="69"/>
    </row>
    <row r="31" spans="1:8" ht="12.75" customHeight="1" x14ac:dyDescent="0.3">
      <c r="A31" s="146"/>
      <c r="B31" s="71"/>
      <c r="C31" s="290">
        <v>23306.02</v>
      </c>
      <c r="D31" s="72"/>
      <c r="E31" s="72"/>
      <c r="F31" s="72"/>
      <c r="G31" s="73">
        <f>ROUND(IF(PRODUCT(IF(C31=0,1,C31),IF(D31=0,1,D31),IF(E31=0,1,E31),IF(F31=0,1,F31))=1,0,PRODUCT(IF(C31=0,1,C31),IF(D31=0,1,D31),IF(E31=0,1,E31),IF(F31=0,1,F31))),2)</f>
        <v>23306.02</v>
      </c>
      <c r="H31" s="69"/>
    </row>
    <row r="32" spans="1:8" ht="12.75" customHeight="1" x14ac:dyDescent="0.3">
      <c r="A32" s="146"/>
      <c r="B32" s="71"/>
      <c r="C32" s="74"/>
      <c r="D32" s="74"/>
      <c r="E32" s="74"/>
      <c r="F32" s="74"/>
      <c r="G32" s="73">
        <f>ROUND(IF(PRODUCT(IF(C32=0,1,C32),IF(D32=0,1,D32),IF(E32=0,1,E32),IF(F32=0,1,F32))=1,0,PRODUCT(IF(C32=0,1,C32),IF(D32=0,1,D32),IF(E32=0,1,E32),IF(F32=0,1,F32))),2)</f>
        <v>0</v>
      </c>
      <c r="H32" s="69"/>
    </row>
    <row r="33" spans="1:8" ht="12.75" customHeight="1" x14ac:dyDescent="0.3">
      <c r="A33" s="146"/>
      <c r="B33" s="68"/>
      <c r="C33" s="75"/>
      <c r="D33" s="147"/>
      <c r="E33" s="76" t="s">
        <v>101</v>
      </c>
      <c r="F33" s="77" t="s">
        <v>102</v>
      </c>
      <c r="G33" s="78">
        <f>SUM(G31:G32)</f>
        <v>23306.02</v>
      </c>
      <c r="H33" s="79" t="s">
        <v>40</v>
      </c>
    </row>
    <row r="34" spans="1:8" x14ac:dyDescent="0.3">
      <c r="A34" s="288" t="s">
        <v>10</v>
      </c>
      <c r="B34" s="149" t="str">
        <f>BASE!D20</f>
        <v xml:space="preserve">CONSTRUÇÃO DA BARRAGEM </v>
      </c>
      <c r="C34" s="150"/>
      <c r="D34" s="150"/>
      <c r="E34" s="150"/>
      <c r="F34" s="150"/>
      <c r="G34" s="150"/>
      <c r="H34" s="151"/>
    </row>
    <row r="35" spans="1:8" x14ac:dyDescent="0.3">
      <c r="A35" s="291" t="str">
        <f>BASE!A21</f>
        <v>2.1</v>
      </c>
      <c r="B35" s="292" t="str">
        <f>BASE!D21</f>
        <v>PREPARO DA BACIA HIDRAULICA</v>
      </c>
      <c r="C35" s="293"/>
      <c r="D35" s="293"/>
      <c r="E35" s="293"/>
      <c r="F35" s="293"/>
      <c r="G35" s="293"/>
      <c r="H35" s="294"/>
    </row>
    <row r="36" spans="1:8" ht="24" customHeight="1" x14ac:dyDescent="0.3">
      <c r="A36" s="146" t="str">
        <f>BASE!A22</f>
        <v>2.1.1</v>
      </c>
      <c r="B36" s="504" t="str">
        <f>BASE!D22</f>
        <v>DESMATAMENTO E LIMPEZA MECANIZADA DE TERRENO COM ARVORES ATE Ø 15CM, UTILIZANDO TRATOR DE ESTEIRAS</v>
      </c>
      <c r="C36" s="505"/>
      <c r="D36" s="506"/>
      <c r="E36" s="68"/>
      <c r="F36" s="68"/>
      <c r="G36" s="68"/>
      <c r="H36" s="69"/>
    </row>
    <row r="37" spans="1:8" x14ac:dyDescent="0.3">
      <c r="A37" s="146"/>
      <c r="B37" s="70" t="s">
        <v>97</v>
      </c>
      <c r="C37" s="70" t="s">
        <v>46</v>
      </c>
      <c r="D37" s="70" t="s">
        <v>98</v>
      </c>
      <c r="E37" s="70" t="s">
        <v>99</v>
      </c>
      <c r="F37" s="70" t="s">
        <v>100</v>
      </c>
      <c r="G37" s="70" t="s">
        <v>101</v>
      </c>
      <c r="H37" s="69"/>
    </row>
    <row r="38" spans="1:8" x14ac:dyDescent="0.3">
      <c r="A38" s="146"/>
      <c r="B38" s="71" t="s">
        <v>103</v>
      </c>
      <c r="C38" s="290">
        <v>23306.02</v>
      </c>
      <c r="D38" s="72"/>
      <c r="E38" s="72"/>
      <c r="F38" s="72"/>
      <c r="G38" s="73">
        <f>ROUND(IF(PRODUCT(IF(C38=0,1,C38),IF(D38=0,1,D38),IF(E38=0,1,E38),IF(F38=0,1,F38))=1,0,PRODUCT(IF(C38=0,1,C38),IF(D38=0,1,D38),IF(E38=0,1,E38),IF(F38=0,1,F38))),2)</f>
        <v>23306.02</v>
      </c>
      <c r="H38" s="69"/>
    </row>
    <row r="39" spans="1:8" x14ac:dyDescent="0.3">
      <c r="A39" s="146"/>
      <c r="B39" s="71"/>
      <c r="C39" s="74"/>
      <c r="D39" s="74"/>
      <c r="E39" s="74"/>
      <c r="F39" s="74"/>
      <c r="G39" s="73">
        <f>ROUND(IF(PRODUCT(IF(C39=0,1,C39),IF(D39=0,1,D39),IF(E39=0,1,E39),IF(F39=0,1,F39))=1,0,PRODUCT(IF(C39=0,1,C39),IF(D39=0,1,D39),IF(E39=0,1,E39),IF(F39=0,1,F39))),2)</f>
        <v>0</v>
      </c>
      <c r="H39" s="69"/>
    </row>
    <row r="40" spans="1:8" x14ac:dyDescent="0.3">
      <c r="A40" s="146"/>
      <c r="B40" s="68"/>
      <c r="C40" s="75"/>
      <c r="D40" s="147"/>
      <c r="E40" s="76" t="s">
        <v>101</v>
      </c>
      <c r="F40" s="77" t="s">
        <v>102</v>
      </c>
      <c r="G40" s="78">
        <f>SUM(G38:G39)</f>
        <v>23306.02</v>
      </c>
      <c r="H40" s="79" t="s">
        <v>40</v>
      </c>
    </row>
    <row r="41" spans="1:8" ht="24" customHeight="1" x14ac:dyDescent="0.3">
      <c r="A41" s="146" t="str">
        <f>BASE!A23</f>
        <v>2.1.2</v>
      </c>
      <c r="B41" s="521" t="str">
        <f>BASE!D23</f>
        <v>ESCAVACAO MECANICA, A CEU ABERTO, EM MATERIAL DE 1A CATEGORIA, COM ESCAVADEIRA HIDRAULICA, CAPACIDADE DE 0,78 M3</v>
      </c>
      <c r="C41" s="522"/>
      <c r="D41" s="523"/>
      <c r="E41" s="68"/>
      <c r="F41" s="68"/>
      <c r="G41" s="68"/>
      <c r="H41" s="69"/>
    </row>
    <row r="42" spans="1:8" x14ac:dyDescent="0.3">
      <c r="A42" s="146"/>
      <c r="B42" s="70" t="s">
        <v>97</v>
      </c>
      <c r="C42" s="70" t="s">
        <v>46</v>
      </c>
      <c r="D42" s="70" t="s">
        <v>98</v>
      </c>
      <c r="E42" s="70" t="s">
        <v>99</v>
      </c>
      <c r="F42" s="70" t="s">
        <v>100</v>
      </c>
      <c r="G42" s="70" t="s">
        <v>101</v>
      </c>
      <c r="H42" s="69"/>
    </row>
    <row r="43" spans="1:8" x14ac:dyDescent="0.3">
      <c r="A43" s="146"/>
      <c r="B43" s="71" t="s">
        <v>104</v>
      </c>
      <c r="C43" s="290">
        <v>22499.72</v>
      </c>
      <c r="D43" s="72"/>
      <c r="E43" s="72"/>
      <c r="F43" s="72"/>
      <c r="G43" s="73">
        <f>ROUND(IF(PRODUCT(IF(C43=0,1,C43),IF(D43=0,1,D43),IF(E43=0,1,E43),IF(F43=0,1,F43))=1,0,PRODUCT(IF(C43=0,1,C43),IF(D43=0,1,D43),IF(E43=0,1,E43),IF(F43=0,1,F43))),2)</f>
        <v>22499.72</v>
      </c>
      <c r="H43" s="69"/>
    </row>
    <row r="44" spans="1:8" x14ac:dyDescent="0.3">
      <c r="A44" s="146"/>
      <c r="B44" s="71"/>
      <c r="C44" s="74"/>
      <c r="D44" s="74"/>
      <c r="E44" s="74"/>
      <c r="F44" s="74"/>
      <c r="G44" s="73">
        <f>ROUND(IF(PRODUCT(IF(C44=0,1,C44),IF(D44=0,1,D44),IF(E44=0,1,E44),IF(F44=0,1,F44))=1,0,PRODUCT(IF(C44=0,1,C44),IF(D44=0,1,D44),IF(E44=0,1,E44),IF(F44=0,1,F44))),2)</f>
        <v>0</v>
      </c>
      <c r="H44" s="69"/>
    </row>
    <row r="45" spans="1:8" x14ac:dyDescent="0.3">
      <c r="A45" s="146"/>
      <c r="B45" s="68"/>
      <c r="C45" s="75"/>
      <c r="D45" s="147"/>
      <c r="E45" s="76" t="s">
        <v>101</v>
      </c>
      <c r="F45" s="77" t="s">
        <v>102</v>
      </c>
      <c r="G45" s="78">
        <f>SUM(G43:G44)</f>
        <v>22499.72</v>
      </c>
      <c r="H45" s="79" t="s">
        <v>64</v>
      </c>
    </row>
    <row r="46" spans="1:8" ht="24" customHeight="1" x14ac:dyDescent="0.3">
      <c r="A46" s="146" t="str">
        <f>BASE!A24</f>
        <v>2.1.3</v>
      </c>
      <c r="B46" s="521" t="str">
        <f>BASE!D24</f>
        <v>CARGA, MANOBRAS E DESCARGA DE AREIA, BRITA, PEDRA DE MAO E SOLOS COM CAMINHAO BASCULANTE 6 M3 (DESCARGA LIVRE)</v>
      </c>
      <c r="C46" s="522"/>
      <c r="D46" s="523"/>
      <c r="E46" s="68"/>
      <c r="F46" s="68"/>
      <c r="G46" s="68"/>
      <c r="H46" s="69"/>
    </row>
    <row r="47" spans="1:8" ht="12.75" customHeight="1" x14ac:dyDescent="0.3">
      <c r="A47" s="146"/>
      <c r="B47" s="70" t="s">
        <v>97</v>
      </c>
      <c r="C47" s="70" t="s">
        <v>46</v>
      </c>
      <c r="D47" s="70" t="s">
        <v>98</v>
      </c>
      <c r="E47" s="70" t="s">
        <v>99</v>
      </c>
      <c r="F47" s="70" t="s">
        <v>100</v>
      </c>
      <c r="G47" s="70" t="s">
        <v>101</v>
      </c>
      <c r="H47" s="69"/>
    </row>
    <row r="48" spans="1:8" x14ac:dyDescent="0.3">
      <c r="A48" s="146"/>
      <c r="B48" s="71" t="s">
        <v>105</v>
      </c>
      <c r="C48" s="290">
        <v>22499.72</v>
      </c>
      <c r="D48" s="72"/>
      <c r="E48" s="72"/>
      <c r="F48" s="72"/>
      <c r="G48" s="73">
        <f>ROUND(IF(PRODUCT(IF(C48=0,1,C48),IF(D48=0,1,D48),IF(E48=0,1,E48),IF(F48=0,1,F48))=1,0,PRODUCT(IF(C48=0,1,C48),IF(D48=0,1,D48),IF(E48=0,1,E48),IF(F48=0,1,F48))),2)</f>
        <v>22499.72</v>
      </c>
      <c r="H48" s="69"/>
    </row>
    <row r="49" spans="1:8" x14ac:dyDescent="0.3">
      <c r="A49" s="146"/>
      <c r="B49" s="71"/>
      <c r="C49" s="74"/>
      <c r="D49" s="74"/>
      <c r="E49" s="74"/>
      <c r="F49" s="74"/>
      <c r="G49" s="73">
        <f>ROUND(IF(PRODUCT(IF(C49=0,1,C49),IF(D49=0,1,D49),IF(E49=0,1,E49),IF(F49=0,1,F49))=1,0,PRODUCT(IF(C49=0,1,C49),IF(D49=0,1,D49),IF(E49=0,1,E49),IF(F49=0,1,F49))),2)</f>
        <v>0</v>
      </c>
      <c r="H49" s="69"/>
    </row>
    <row r="50" spans="1:8" x14ac:dyDescent="0.3">
      <c r="A50" s="146"/>
      <c r="B50" s="68"/>
      <c r="C50" s="75"/>
      <c r="D50" s="147"/>
      <c r="E50" s="76" t="s">
        <v>101</v>
      </c>
      <c r="F50" s="77" t="s">
        <v>102</v>
      </c>
      <c r="G50" s="78">
        <f>SUM(G48:G49)</f>
        <v>22499.72</v>
      </c>
      <c r="H50" s="79" t="s">
        <v>64</v>
      </c>
    </row>
    <row r="51" spans="1:8" x14ac:dyDescent="0.3">
      <c r="A51" s="291" t="str">
        <f>BASE!A25</f>
        <v>2.2</v>
      </c>
      <c r="B51" s="292" t="str">
        <f>BASE!D25</f>
        <v>CUT-OFF / FUNDAÇÃO</v>
      </c>
      <c r="C51" s="293"/>
      <c r="D51" s="293"/>
      <c r="E51" s="293"/>
      <c r="F51" s="293"/>
      <c r="G51" s="293"/>
      <c r="H51" s="294"/>
    </row>
    <row r="52" spans="1:8" ht="35.15" customHeight="1" x14ac:dyDescent="0.3">
      <c r="A52" s="146" t="str">
        <f>BASE!A26</f>
        <v>2.2.1</v>
      </c>
      <c r="B52" s="521" t="str">
        <f>BASE!D26</f>
        <v>ESCAVAÇÃO MECANIZADA DE VALA COM PROF. MAIOR QUE 1,5 M ATÉ 3,0 M (MÉDIA ENTRE MONTANTE E JUSANTE/UMA COMPOSIÇÃO POR TRECHO), COM ESCAVADEIRA HIDRÁULICA (0,8 M3/111 HP), LARG. DE 1,5 M A 2,5 M, EM SOLO DE 1A CATEGORIA, EM LOCAIS COM ALTO NÍVEL DE INTERFERÊNCIA. AF_01/2015</v>
      </c>
      <c r="C52" s="522"/>
      <c r="D52" s="523"/>
      <c r="E52" s="68"/>
      <c r="F52" s="68"/>
      <c r="G52" s="68"/>
      <c r="H52" s="69"/>
    </row>
    <row r="53" spans="1:8" x14ac:dyDescent="0.3">
      <c r="A53" s="146"/>
      <c r="B53" s="70" t="s">
        <v>97</v>
      </c>
      <c r="C53" s="70" t="s">
        <v>46</v>
      </c>
      <c r="D53" s="70" t="s">
        <v>98</v>
      </c>
      <c r="E53" s="70" t="s">
        <v>99</v>
      </c>
      <c r="F53" s="70" t="s">
        <v>100</v>
      </c>
      <c r="G53" s="70" t="s">
        <v>101</v>
      </c>
      <c r="H53" s="69"/>
    </row>
    <row r="54" spans="1:8" x14ac:dyDescent="0.3">
      <c r="A54" s="146"/>
      <c r="B54" s="71" t="s">
        <v>106</v>
      </c>
      <c r="C54" s="290">
        <v>2128.5</v>
      </c>
      <c r="D54" s="72"/>
      <c r="E54" s="72"/>
      <c r="F54" s="72"/>
      <c r="G54" s="73">
        <f>ROUND(IF(PRODUCT(IF(C54=0,1,C54),IF(D54=0,1,D54),IF(E54=0,1,E54),IF(F54=0,1,F54))=1,0,PRODUCT(IF(C54=0,1,C54),IF(D54=0,1,D54),IF(E54=0,1,E54),IF(F54=0,1,F54))),2)</f>
        <v>2128.5</v>
      </c>
      <c r="H54" s="69"/>
    </row>
    <row r="55" spans="1:8" x14ac:dyDescent="0.3">
      <c r="A55" s="146"/>
      <c r="B55" s="71"/>
      <c r="C55" s="74"/>
      <c r="D55" s="74"/>
      <c r="E55" s="74"/>
      <c r="F55" s="74"/>
      <c r="G55" s="73">
        <f>ROUND(IF(PRODUCT(IF(C55=0,1,C55),IF(D55=0,1,D55),IF(E55=0,1,E55),IF(F55=0,1,F55))=1,0,PRODUCT(IF(C55=0,1,C55),IF(D55=0,1,D55),IF(E55=0,1,E55),IF(F55=0,1,F55))),2)</f>
        <v>0</v>
      </c>
      <c r="H55" s="69"/>
    </row>
    <row r="56" spans="1:8" x14ac:dyDescent="0.3">
      <c r="A56" s="146"/>
      <c r="B56" s="68"/>
      <c r="C56" s="75"/>
      <c r="D56" s="147"/>
      <c r="E56" s="76" t="s">
        <v>101</v>
      </c>
      <c r="F56" s="77" t="s">
        <v>102</v>
      </c>
      <c r="G56" s="78">
        <f>SUM(G54:G55)</f>
        <v>2128.5</v>
      </c>
      <c r="H56" s="79" t="s">
        <v>64</v>
      </c>
    </row>
    <row r="57" spans="1:8" ht="35.15" customHeight="1" x14ac:dyDescent="0.3">
      <c r="A57" s="146" t="str">
        <f>BASE!A27</f>
        <v>2.2.2</v>
      </c>
      <c r="B57" s="521" t="str">
        <f>BASE!D27</f>
        <v>ATERRO MECANIZADO DE VALA COM ESCAVADEIRA HIDRÁULICA (CAPACIDADE DA CAÇAMBA: 0,8 M³ / POTÊNCIA: 111 HP), LARGURA ATÉ 1,5 M, PROFUNDIDADE DE 1,5 A 3,0 M, COM SOLO ARGILO-ARENOSO. AF_05/2016</v>
      </c>
      <c r="C57" s="522"/>
      <c r="D57" s="523"/>
      <c r="E57" s="68"/>
      <c r="F57" s="68"/>
      <c r="G57" s="68"/>
      <c r="H57" s="69"/>
    </row>
    <row r="58" spans="1:8" x14ac:dyDescent="0.3">
      <c r="A58" s="146"/>
      <c r="B58" s="70" t="s">
        <v>97</v>
      </c>
      <c r="C58" s="70" t="s">
        <v>46</v>
      </c>
      <c r="D58" s="70" t="s">
        <v>98</v>
      </c>
      <c r="E58" s="70" t="s">
        <v>99</v>
      </c>
      <c r="F58" s="70" t="s">
        <v>100</v>
      </c>
      <c r="G58" s="70" t="s">
        <v>101</v>
      </c>
      <c r="H58" s="69"/>
    </row>
    <row r="59" spans="1:8" x14ac:dyDescent="0.3">
      <c r="A59" s="146"/>
      <c r="B59" s="71" t="s">
        <v>107</v>
      </c>
      <c r="C59" s="290">
        <v>2128.5</v>
      </c>
      <c r="D59" s="72"/>
      <c r="E59" s="72"/>
      <c r="F59" s="72"/>
      <c r="G59" s="73">
        <f>ROUND(IF(PRODUCT(IF(C59=0,1,C59),IF(D59=0,1,D59),IF(E59=0,1,E59),IF(F59=0,1,F59))=1,0,PRODUCT(IF(C59=0,1,C59),IF(D59=0,1,D59),IF(E59=0,1,E59),IF(F59=0,1,F59))),2)</f>
        <v>2128.5</v>
      </c>
      <c r="H59" s="69"/>
    </row>
    <row r="60" spans="1:8" x14ac:dyDescent="0.3">
      <c r="A60" s="146"/>
      <c r="B60" s="71"/>
      <c r="C60" s="74"/>
      <c r="D60" s="74"/>
      <c r="E60" s="74"/>
      <c r="F60" s="74"/>
      <c r="G60" s="73">
        <f>ROUND(IF(PRODUCT(IF(C60=0,1,C60),IF(D60=0,1,D60),IF(E60=0,1,E60),IF(F60=0,1,F60))=1,0,PRODUCT(IF(C60=0,1,C60),IF(D60=0,1,D60),IF(E60=0,1,E60),IF(F60=0,1,F60))),2)</f>
        <v>0</v>
      </c>
      <c r="H60" s="69"/>
    </row>
    <row r="61" spans="1:8" x14ac:dyDescent="0.3">
      <c r="A61" s="146"/>
      <c r="B61" s="68"/>
      <c r="C61" s="75"/>
      <c r="D61" s="147"/>
      <c r="E61" s="76" t="s">
        <v>101</v>
      </c>
      <c r="F61" s="77" t="s">
        <v>102</v>
      </c>
      <c r="G61" s="78">
        <f>SUM(G59:G60)</f>
        <v>2128.5</v>
      </c>
      <c r="H61" s="79" t="s">
        <v>64</v>
      </c>
    </row>
    <row r="62" spans="1:8" ht="24" customHeight="1" x14ac:dyDescent="0.3">
      <c r="A62" s="146" t="str">
        <f>BASE!A28</f>
        <v>2.2.3</v>
      </c>
      <c r="B62" s="521" t="str">
        <f>BASE!D28</f>
        <v>CARGA, MANOBRAS E DESCARGA DE AREIA, BRITA, PEDRA DE MAO E SOLOS COM CAMINHAO BASCULANTE 6 M3 (DESCARGA LIVRE) - BOTA FORA</v>
      </c>
      <c r="C62" s="522"/>
      <c r="D62" s="523"/>
      <c r="E62" s="68"/>
      <c r="F62" s="68"/>
      <c r="G62" s="68"/>
      <c r="H62" s="69"/>
    </row>
    <row r="63" spans="1:8" x14ac:dyDescent="0.3">
      <c r="A63" s="146"/>
      <c r="B63" s="70" t="s">
        <v>97</v>
      </c>
      <c r="C63" s="70" t="s">
        <v>46</v>
      </c>
      <c r="D63" s="70" t="s">
        <v>98</v>
      </c>
      <c r="E63" s="70" t="s">
        <v>99</v>
      </c>
      <c r="F63" s="70" t="s">
        <v>100</v>
      </c>
      <c r="G63" s="70" t="s">
        <v>101</v>
      </c>
      <c r="H63" s="69"/>
    </row>
    <row r="64" spans="1:8" x14ac:dyDescent="0.3">
      <c r="A64" s="146"/>
      <c r="B64" s="71" t="s">
        <v>108</v>
      </c>
      <c r="C64" s="290">
        <v>2128.5</v>
      </c>
      <c r="D64" s="72"/>
      <c r="E64" s="72"/>
      <c r="F64" s="72"/>
      <c r="G64" s="73">
        <f>ROUND(IF(PRODUCT(IF(C64=0,1,C64),IF(D64=0,1,D64),IF(E64=0,1,E64),IF(F64=0,1,F64))=1,0,PRODUCT(IF(C64=0,1,C64),IF(D64=0,1,D64),IF(E64=0,1,E64),IF(F64=0,1,F64))),2)</f>
        <v>2128.5</v>
      </c>
      <c r="H64" s="69"/>
    </row>
    <row r="65" spans="1:8" x14ac:dyDescent="0.3">
      <c r="A65" s="146"/>
      <c r="B65" s="71"/>
      <c r="C65" s="74"/>
      <c r="D65" s="74"/>
      <c r="E65" s="74"/>
      <c r="F65" s="74"/>
      <c r="G65" s="73">
        <f>ROUND(IF(PRODUCT(IF(C65=0,1,C65),IF(D65=0,1,D65),IF(E65=0,1,E65),IF(F65=0,1,F65))=1,0,PRODUCT(IF(C65=0,1,C65),IF(D65=0,1,D65),IF(E65=0,1,E65),IF(F65=0,1,F65))),2)</f>
        <v>0</v>
      </c>
      <c r="H65" s="69"/>
    </row>
    <row r="66" spans="1:8" x14ac:dyDescent="0.3">
      <c r="A66" s="146"/>
      <c r="B66" s="68"/>
      <c r="C66" s="75"/>
      <c r="D66" s="147"/>
      <c r="E66" s="76" t="s">
        <v>101</v>
      </c>
      <c r="F66" s="77" t="s">
        <v>102</v>
      </c>
      <c r="G66" s="78">
        <f>SUM(G64:G65)</f>
        <v>2128.5</v>
      </c>
      <c r="H66" s="79" t="s">
        <v>64</v>
      </c>
    </row>
    <row r="67" spans="1:8" x14ac:dyDescent="0.3">
      <c r="A67" s="291" t="str">
        <f>BASE!A29</f>
        <v>2.3</v>
      </c>
      <c r="B67" s="292" t="str">
        <f>BASE!D29</f>
        <v>MACIÇO</v>
      </c>
      <c r="C67" s="293"/>
      <c r="D67" s="293"/>
      <c r="E67" s="293"/>
      <c r="F67" s="293"/>
      <c r="G67" s="293"/>
      <c r="H67" s="294"/>
    </row>
    <row r="68" spans="1:8" ht="34" customHeight="1" x14ac:dyDescent="0.3">
      <c r="A68" s="146" t="str">
        <f>BASE!A30</f>
        <v>2.3.1</v>
      </c>
      <c r="B68" s="521" t="str">
        <f>BASE!D30</f>
        <v>ESCAVAÇÃO VERTICAL A CÉU ABERTO, INCLUINDO CARGA, DESCARGA E TRANSPORTE, EM SOLO DE 1ª CATEGORIA COM ESCAVADEIRA HIDRÁULICA (CAÇAMBA: 0,8 M³ / 111 HP), FROTA DE 3 CAMINHÕES BASCULANTES DE 14 M³, DMT DE 1 KM E VELOCIDADE MÉDIA 15 KM/H. AF_12/2013</v>
      </c>
      <c r="C68" s="522"/>
      <c r="D68" s="523"/>
      <c r="E68" s="68"/>
      <c r="F68" s="68"/>
      <c r="G68" s="68"/>
      <c r="H68" s="69"/>
    </row>
    <row r="69" spans="1:8" x14ac:dyDescent="0.3">
      <c r="A69" s="146"/>
      <c r="B69" s="70" t="s">
        <v>97</v>
      </c>
      <c r="C69" s="70" t="s">
        <v>46</v>
      </c>
      <c r="D69" s="70" t="s">
        <v>98</v>
      </c>
      <c r="E69" s="70" t="s">
        <v>99</v>
      </c>
      <c r="F69" s="70" t="s">
        <v>100</v>
      </c>
      <c r="G69" s="70" t="s">
        <v>101</v>
      </c>
      <c r="H69" s="69"/>
    </row>
    <row r="70" spans="1:8" x14ac:dyDescent="0.3">
      <c r="A70" s="146"/>
      <c r="B70" s="71" t="s">
        <v>109</v>
      </c>
      <c r="C70" s="290">
        <v>7744.77</v>
      </c>
      <c r="D70" s="72"/>
      <c r="E70" s="72"/>
      <c r="F70" s="72"/>
      <c r="G70" s="73">
        <f>ROUND(IF(PRODUCT(IF(C70=0,1,C70),IF(D70=0,1,D70),IF(E70=0,1,E70),IF(F70=0,1,F70))=1,0,PRODUCT(IF(C70=0,1,C70),IF(D70=0,1,D70),IF(E70=0,1,E70),IF(F70=0,1,F70))),2)</f>
        <v>7744.77</v>
      </c>
      <c r="H70" s="69"/>
    </row>
    <row r="71" spans="1:8" x14ac:dyDescent="0.3">
      <c r="A71" s="146"/>
      <c r="B71" s="71"/>
      <c r="C71" s="74"/>
      <c r="D71" s="74"/>
      <c r="E71" s="74"/>
      <c r="F71" s="74"/>
      <c r="G71" s="73">
        <f>ROUND(IF(PRODUCT(IF(C71=0,1,C71),IF(D71=0,1,D71),IF(E71=0,1,E71),IF(F71=0,1,F71))=1,0,PRODUCT(IF(C71=0,1,C71),IF(D71=0,1,D71),IF(E71=0,1,E71),IF(F71=0,1,F71))),2)</f>
        <v>0</v>
      </c>
      <c r="H71" s="69"/>
    </row>
    <row r="72" spans="1:8" x14ac:dyDescent="0.3">
      <c r="A72" s="146"/>
      <c r="B72" s="68"/>
      <c r="C72" s="75"/>
      <c r="D72" s="147"/>
      <c r="E72" s="76" t="s">
        <v>101</v>
      </c>
      <c r="F72" s="77" t="s">
        <v>102</v>
      </c>
      <c r="G72" s="78">
        <f>SUM(G70:G71)</f>
        <v>7744.77</v>
      </c>
      <c r="H72" s="79" t="s">
        <v>64</v>
      </c>
    </row>
    <row r="73" spans="1:8" ht="24" customHeight="1" x14ac:dyDescent="0.3">
      <c r="A73" s="146" t="str">
        <f>BASE!A31</f>
        <v>2.3.2</v>
      </c>
      <c r="B73" s="521" t="str">
        <f>BASE!D31</f>
        <v>ATERRO MECANIZADO COM TRATOR DE ESTEIRA, INCLUSIVE COMPACTAÇÃO (MÃO DE OBRA, CAMINHÃO PIPA, E ROLO)</v>
      </c>
      <c r="C73" s="522"/>
      <c r="D73" s="523"/>
      <c r="E73" s="68"/>
      <c r="F73" s="68"/>
      <c r="G73" s="68"/>
      <c r="H73" s="69"/>
    </row>
    <row r="74" spans="1:8" x14ac:dyDescent="0.3">
      <c r="A74" s="146"/>
      <c r="B74" s="70" t="s">
        <v>97</v>
      </c>
      <c r="C74" s="70" t="s">
        <v>46</v>
      </c>
      <c r="D74" s="70" t="s">
        <v>98</v>
      </c>
      <c r="E74" s="70" t="s">
        <v>99</v>
      </c>
      <c r="F74" s="70" t="s">
        <v>100</v>
      </c>
      <c r="G74" s="70" t="s">
        <v>101</v>
      </c>
      <c r="H74" s="69"/>
    </row>
    <row r="75" spans="1:8" x14ac:dyDescent="0.3">
      <c r="A75" s="146"/>
      <c r="B75" s="71" t="s">
        <v>110</v>
      </c>
      <c r="C75" s="290">
        <v>7744.77</v>
      </c>
      <c r="D75" s="72"/>
      <c r="E75" s="72"/>
      <c r="F75" s="72"/>
      <c r="G75" s="73">
        <f>ROUND(IF(PRODUCT(IF(C75=0,1,C75),IF(D75=0,1,D75),IF(E75=0,1,E75),IF(F75=0,1,F75))=1,0,PRODUCT(IF(C75=0,1,C75),IF(D75=0,1,D75),IF(E75=0,1,E75),IF(F75=0,1,F75))),2)</f>
        <v>7744.77</v>
      </c>
      <c r="H75" s="69"/>
    </row>
    <row r="76" spans="1:8" x14ac:dyDescent="0.3">
      <c r="A76" s="146"/>
      <c r="B76" s="71"/>
      <c r="C76" s="74"/>
      <c r="D76" s="74"/>
      <c r="E76" s="74"/>
      <c r="F76" s="74"/>
      <c r="G76" s="73">
        <f>ROUND(IF(PRODUCT(IF(C76=0,1,C76),IF(D76=0,1,D76),IF(E76=0,1,E76),IF(F76=0,1,F76))=1,0,PRODUCT(IF(C76=0,1,C76),IF(D76=0,1,D76),IF(E76=0,1,E76),IF(F76=0,1,F76))),2)</f>
        <v>0</v>
      </c>
      <c r="H76" s="69"/>
    </row>
    <row r="77" spans="1:8" x14ac:dyDescent="0.3">
      <c r="A77" s="146"/>
      <c r="B77" s="68"/>
      <c r="C77" s="75"/>
      <c r="D77" s="147"/>
      <c r="E77" s="76" t="s">
        <v>101</v>
      </c>
      <c r="F77" s="77" t="s">
        <v>102</v>
      </c>
      <c r="G77" s="78">
        <f>SUM(G75:G76)</f>
        <v>7744.77</v>
      </c>
      <c r="H77" s="79" t="s">
        <v>64</v>
      </c>
    </row>
    <row r="78" spans="1:8" ht="34" customHeight="1" x14ac:dyDescent="0.3">
      <c r="A78" s="146" t="str">
        <f>BASE!A32</f>
        <v>2.3.3</v>
      </c>
      <c r="B78" s="504" t="str">
        <f>BASE!D32</f>
        <v>GUIA (MEIO-FIO) E SARJETA CONJUGADOS DE CONCRETO, MOLDADA IN LOCO EM TRECHO RETO COM EXTRUSORA, 45 CM BASE (15 CM BASE DA GUIA + 30 CM BASE DA SARJETA) X 22 CM ALTURA. AF_06/2016</v>
      </c>
      <c r="C78" s="505"/>
      <c r="D78" s="506"/>
      <c r="E78" s="68"/>
      <c r="F78" s="68"/>
      <c r="G78" s="68"/>
      <c r="H78" s="69"/>
    </row>
    <row r="79" spans="1:8" x14ac:dyDescent="0.3">
      <c r="A79" s="146"/>
      <c r="B79" s="70" t="s">
        <v>97</v>
      </c>
      <c r="C79" s="70" t="s">
        <v>46</v>
      </c>
      <c r="D79" s="70" t="s">
        <v>98</v>
      </c>
      <c r="E79" s="70" t="s">
        <v>99</v>
      </c>
      <c r="F79" s="70" t="s">
        <v>100</v>
      </c>
      <c r="G79" s="70" t="s">
        <v>101</v>
      </c>
      <c r="H79" s="69"/>
    </row>
    <row r="80" spans="1:8" x14ac:dyDescent="0.3">
      <c r="A80" s="146"/>
      <c r="B80" s="71"/>
      <c r="C80" s="80"/>
      <c r="D80" s="72">
        <v>258</v>
      </c>
      <c r="E80" s="72"/>
      <c r="F80" s="72"/>
      <c r="G80" s="73">
        <f>ROUND(IF(PRODUCT(IF(C80=0,1,C80),IF(D80=0,1,D80),IF(E80=0,1,E80),IF(F80=0,1,F80))=1,0,PRODUCT(IF(C80=0,1,C80),IF(D80=0,1,D80),IF(E80=0,1,E80),IF(F80=0,1,F80))),2)</f>
        <v>258</v>
      </c>
      <c r="H80" s="69"/>
    </row>
    <row r="81" spans="1:8" x14ac:dyDescent="0.3">
      <c r="A81" s="146"/>
      <c r="B81" s="71"/>
      <c r="C81" s="74"/>
      <c r="D81" s="74"/>
      <c r="E81" s="74"/>
      <c r="F81" s="74"/>
      <c r="G81" s="73">
        <f t="shared" ref="G81" si="0">ROUND(IF(PRODUCT(IF(C81=0,1,C81),IF(D81=0,1,D81),IF(E81=0,1,E81),IF(F81=0,1,F81))=1,0,PRODUCT(IF(C81=0,1,C81),IF(D81=0,1,D81),IF(E81=0,1,E81),IF(F81=0,1,F81))),2)</f>
        <v>0</v>
      </c>
      <c r="H81" s="69"/>
    </row>
    <row r="82" spans="1:8" x14ac:dyDescent="0.3">
      <c r="B82" s="152"/>
      <c r="C82" s="153"/>
      <c r="D82" s="148"/>
      <c r="E82" s="76" t="s">
        <v>101</v>
      </c>
      <c r="F82" s="77" t="s">
        <v>102</v>
      </c>
      <c r="G82" s="78">
        <f>SUM(G80:G81)</f>
        <v>258</v>
      </c>
      <c r="H82" s="79" t="s">
        <v>111</v>
      </c>
    </row>
    <row r="83" spans="1:8" x14ac:dyDescent="0.3">
      <c r="A83" s="146" t="str">
        <f>BASE!A33</f>
        <v>2.3.4</v>
      </c>
      <c r="B83" s="504" t="str">
        <f>BASE!D33</f>
        <v>CALHA EM CONCRETO SIMPLES, EM MEIA CANA DE CONCRETO, DIAMETRO 600 MM</v>
      </c>
      <c r="C83" s="505"/>
      <c r="D83" s="506"/>
      <c r="E83" s="68"/>
      <c r="F83" s="68"/>
      <c r="G83" s="68"/>
      <c r="H83" s="69"/>
    </row>
    <row r="84" spans="1:8" x14ac:dyDescent="0.3">
      <c r="A84" s="146"/>
      <c r="B84" s="70" t="s">
        <v>97</v>
      </c>
      <c r="C84" s="70" t="s">
        <v>46</v>
      </c>
      <c r="D84" s="70" t="s">
        <v>98</v>
      </c>
      <c r="E84" s="70" t="s">
        <v>99</v>
      </c>
      <c r="F84" s="70" t="s">
        <v>100</v>
      </c>
      <c r="G84" s="70" t="s">
        <v>101</v>
      </c>
      <c r="H84" s="69"/>
    </row>
    <row r="85" spans="1:8" x14ac:dyDescent="0.3">
      <c r="A85" s="146"/>
      <c r="B85" s="71"/>
      <c r="C85" s="80"/>
      <c r="D85" s="72">
        <v>52.82</v>
      </c>
      <c r="E85" s="72"/>
      <c r="F85" s="72"/>
      <c r="G85" s="73">
        <f>ROUND(IF(PRODUCT(IF(C85=0,1,C85),IF(D85=0,1,D85),IF(E85=0,1,E85),IF(F85=0,1,F85))=1,0,PRODUCT(IF(C85=0,1,C85),IF(D85=0,1,D85),IF(E85=0,1,E85),IF(F85=0,1,F85))),2)</f>
        <v>52.82</v>
      </c>
      <c r="H85" s="69"/>
    </row>
    <row r="86" spans="1:8" x14ac:dyDescent="0.3">
      <c r="A86" s="146"/>
      <c r="B86" s="71"/>
      <c r="C86" s="74"/>
      <c r="D86" s="74"/>
      <c r="E86" s="74"/>
      <c r="F86" s="74"/>
      <c r="G86" s="73">
        <f t="shared" ref="G86" si="1">ROUND(IF(PRODUCT(IF(C86=0,1,C86),IF(D86=0,1,D86),IF(E86=0,1,E86),IF(F86=0,1,F86))=1,0,PRODUCT(IF(C86=0,1,C86),IF(D86=0,1,D86),IF(E86=0,1,E86),IF(F86=0,1,F86))),2)</f>
        <v>0</v>
      </c>
      <c r="H86" s="69"/>
    </row>
    <row r="87" spans="1:8" x14ac:dyDescent="0.3">
      <c r="A87" s="146"/>
      <c r="B87" s="68"/>
      <c r="C87" s="75"/>
      <c r="D87" s="147"/>
      <c r="E87" s="76" t="s">
        <v>101</v>
      </c>
      <c r="F87" s="77" t="s">
        <v>102</v>
      </c>
      <c r="G87" s="78">
        <f>SUM(G85:G86)</f>
        <v>52.82</v>
      </c>
      <c r="H87" s="79" t="s">
        <v>111</v>
      </c>
    </row>
    <row r="88" spans="1:8" x14ac:dyDescent="0.3">
      <c r="A88" s="295" t="str">
        <f>BASE!A34</f>
        <v>2.4</v>
      </c>
      <c r="B88" s="292" t="str">
        <f>BASE!D34</f>
        <v>VERTEDOURO</v>
      </c>
      <c r="C88" s="293"/>
      <c r="D88" s="293"/>
      <c r="E88" s="293"/>
      <c r="F88" s="293"/>
      <c r="G88" s="293"/>
      <c r="H88" s="294"/>
    </row>
    <row r="89" spans="1:8" ht="34" customHeight="1" x14ac:dyDescent="0.3">
      <c r="A89" s="146" t="str">
        <f>BASE!A35</f>
        <v>2.4.1</v>
      </c>
      <c r="B89" s="504" t="str">
        <f>BASE!D35</f>
        <v>ESCAVAÇÃO MECANIZADA DE VALA COM PROF. ATÉ 1,5 M (MÉDIA ENTRE MONTANTE E JUSANTE/UMA COMPOSIÇÃO POR TRECHO), COM ESCAVADEIRA HIDRÁULICA (0,8M3), LARG. DE 1,5 M A 2,5 M, EM SOLO DE 1A CATEGORIA, EM LOCAIS COM ALTO NÍVEL DE INTERFERÊNCIA. AF_01/2015</v>
      </c>
      <c r="C89" s="505"/>
      <c r="D89" s="506"/>
      <c r="E89" s="68"/>
      <c r="F89" s="68"/>
      <c r="G89" s="68"/>
      <c r="H89" s="69"/>
    </row>
    <row r="90" spans="1:8" x14ac:dyDescent="0.3">
      <c r="A90" s="146"/>
      <c r="B90" s="70" t="s">
        <v>97</v>
      </c>
      <c r="C90" s="70" t="s">
        <v>46</v>
      </c>
      <c r="D90" s="70" t="s">
        <v>98</v>
      </c>
      <c r="E90" s="70" t="s">
        <v>99</v>
      </c>
      <c r="F90" s="70" t="s">
        <v>100</v>
      </c>
      <c r="G90" s="70" t="s">
        <v>101</v>
      </c>
      <c r="H90" s="69"/>
    </row>
    <row r="91" spans="1:8" x14ac:dyDescent="0.3">
      <c r="A91" s="146"/>
      <c r="B91" s="71"/>
      <c r="C91" s="80"/>
      <c r="D91" s="72">
        <v>2703.34</v>
      </c>
      <c r="E91" s="72"/>
      <c r="F91" s="72"/>
      <c r="G91" s="73">
        <f>ROUND(IF(PRODUCT(IF(C91=0,1,C91),IF(D91=0,1,D91),IF(E91=0,1,E91),IF(F91=0,1,F91))=1,0,PRODUCT(IF(C91=0,1,C91),IF(D91=0,1,D91),IF(E91=0,1,E91),IF(F91=0,1,F91))),2)</f>
        <v>2703.34</v>
      </c>
      <c r="H91" s="69"/>
    </row>
    <row r="92" spans="1:8" x14ac:dyDescent="0.3">
      <c r="A92" s="146"/>
      <c r="B92" s="71"/>
      <c r="C92" s="74"/>
      <c r="D92" s="74"/>
      <c r="E92" s="74"/>
      <c r="F92" s="74"/>
      <c r="G92" s="73">
        <f t="shared" ref="G92" si="2">ROUND(IF(PRODUCT(IF(C92=0,1,C92),IF(D92=0,1,D92),IF(E92=0,1,E92),IF(F92=0,1,F92))=1,0,PRODUCT(IF(C92=0,1,C92),IF(D92=0,1,D92),IF(E92=0,1,E92),IF(F92=0,1,F92))),2)</f>
        <v>0</v>
      </c>
      <c r="H92" s="69"/>
    </row>
    <row r="93" spans="1:8" x14ac:dyDescent="0.3">
      <c r="A93" s="146"/>
      <c r="B93" s="68"/>
      <c r="C93" s="75"/>
      <c r="D93" s="147"/>
      <c r="E93" s="76" t="s">
        <v>101</v>
      </c>
      <c r="F93" s="77" t="s">
        <v>102</v>
      </c>
      <c r="G93" s="78">
        <f>SUM(G91:G92)</f>
        <v>2703.34</v>
      </c>
      <c r="H93" s="79" t="s">
        <v>64</v>
      </c>
    </row>
    <row r="94" spans="1:8" ht="24" customHeight="1" x14ac:dyDescent="0.3">
      <c r="A94" s="146" t="str">
        <f>BASE!A36</f>
        <v>2.4.2</v>
      </c>
      <c r="B94" s="504" t="str">
        <f>BASE!D36</f>
        <v>CONCRETO MAGRO PARA LASTRO, TRAÇO 1:4,5:4,5 (CIMENTO/ AREIA MÉDIA/ BRITA 1) - PREPARO MECÂNICO COM BETONEIRA 400 L. AF_07/2016</v>
      </c>
      <c r="C94" s="505"/>
      <c r="D94" s="506"/>
      <c r="E94" s="68"/>
      <c r="F94" s="68"/>
      <c r="G94" s="68"/>
      <c r="H94" s="69"/>
    </row>
    <row r="95" spans="1:8" x14ac:dyDescent="0.3">
      <c r="A95" s="146"/>
      <c r="B95" s="70" t="s">
        <v>97</v>
      </c>
      <c r="C95" s="70" t="s">
        <v>46</v>
      </c>
      <c r="D95" s="70" t="s">
        <v>98</v>
      </c>
      <c r="E95" s="70" t="s">
        <v>99</v>
      </c>
      <c r="F95" s="70" t="s">
        <v>100</v>
      </c>
      <c r="G95" s="70" t="s">
        <v>101</v>
      </c>
      <c r="H95" s="69"/>
    </row>
    <row r="96" spans="1:8" x14ac:dyDescent="0.3">
      <c r="A96" s="146"/>
      <c r="B96" s="71" t="s">
        <v>112</v>
      </c>
      <c r="C96" s="80"/>
      <c r="D96" s="72">
        <v>7</v>
      </c>
      <c r="E96" s="72">
        <v>1</v>
      </c>
      <c r="F96" s="72">
        <v>0.05</v>
      </c>
      <c r="G96" s="73">
        <f>ROUND(IF(PRODUCT(IF(C96=0,1,C96),IF(D96=0,1,D96),IF(E96=0,1,E96),IF(F96=0,1,F96))=1,0,PRODUCT(IF(C96=0,1,C96),IF(D96=0,1,D96),IF(E96=0,1,E96),IF(F96=0,1,F96))),2)</f>
        <v>0.35</v>
      </c>
      <c r="H96" s="69"/>
    </row>
    <row r="97" spans="1:8" x14ac:dyDescent="0.3">
      <c r="A97" s="146"/>
      <c r="B97" s="71" t="s">
        <v>113</v>
      </c>
      <c r="C97" s="80"/>
      <c r="D97" s="72">
        <v>28.69</v>
      </c>
      <c r="E97" s="72">
        <v>0.5</v>
      </c>
      <c r="F97" s="72">
        <v>0.05</v>
      </c>
      <c r="G97" s="73">
        <f t="shared" ref="G97:G100" si="3">ROUND(IF(PRODUCT(IF(C97=0,1,C97),IF(D97=0,1,D97),IF(E97=0,1,E97),IF(F97=0,1,F97))=1,0,PRODUCT(IF(C97=0,1,C97),IF(D97=0,1,D97),IF(E97=0,1,E97),IF(F97=0,1,F97))),2)</f>
        <v>0.72</v>
      </c>
      <c r="H97" s="69"/>
    </row>
    <row r="98" spans="1:8" x14ac:dyDescent="0.3">
      <c r="A98" s="146"/>
      <c r="B98" s="71" t="s">
        <v>114</v>
      </c>
      <c r="C98" s="80"/>
      <c r="D98" s="72">
        <v>52.52</v>
      </c>
      <c r="E98" s="72">
        <v>0.5</v>
      </c>
      <c r="F98" s="72">
        <v>0.05</v>
      </c>
      <c r="G98" s="73">
        <f t="shared" si="3"/>
        <v>1.31</v>
      </c>
      <c r="H98" s="69"/>
    </row>
    <row r="99" spans="1:8" x14ac:dyDescent="0.3">
      <c r="A99" s="146"/>
      <c r="B99" s="71" t="s">
        <v>115</v>
      </c>
      <c r="C99" s="80"/>
      <c r="D99" s="72">
        <v>25</v>
      </c>
      <c r="E99" s="72">
        <v>7</v>
      </c>
      <c r="F99" s="72">
        <v>0.05</v>
      </c>
      <c r="G99" s="73">
        <f t="shared" si="3"/>
        <v>8.75</v>
      </c>
      <c r="H99" s="69"/>
    </row>
    <row r="100" spans="1:8" x14ac:dyDescent="0.3">
      <c r="A100" s="146"/>
      <c r="B100" s="71"/>
      <c r="C100" s="74"/>
      <c r="D100" s="74"/>
      <c r="E100" s="74"/>
      <c r="F100" s="74"/>
      <c r="G100" s="73">
        <f t="shared" si="3"/>
        <v>0</v>
      </c>
      <c r="H100" s="69"/>
    </row>
    <row r="101" spans="1:8" x14ac:dyDescent="0.3">
      <c r="A101" s="146"/>
      <c r="B101" s="68"/>
      <c r="C101" s="75"/>
      <c r="D101" s="147"/>
      <c r="E101" s="76" t="s">
        <v>101</v>
      </c>
      <c r="F101" s="77" t="s">
        <v>102</v>
      </c>
      <c r="G101" s="78">
        <f>SUM(G96:G100)</f>
        <v>11.129999999999999</v>
      </c>
      <c r="H101" s="79" t="s">
        <v>64</v>
      </c>
    </row>
    <row r="102" spans="1:8" x14ac:dyDescent="0.3">
      <c r="A102" s="146" t="str">
        <f>BASE!A37</f>
        <v>2.4.3</v>
      </c>
      <c r="B102" s="504" t="str">
        <f>BASE!D37</f>
        <v>ENROCAMENTO COM PEDRA ARGAMASSADA TRAÇO 1:4 COM PEDRA DE MÃO</v>
      </c>
      <c r="C102" s="505"/>
      <c r="D102" s="506"/>
      <c r="E102" s="68"/>
      <c r="F102" s="68"/>
      <c r="G102" s="68"/>
      <c r="H102" s="69"/>
    </row>
    <row r="103" spans="1:8" x14ac:dyDescent="0.3">
      <c r="A103" s="146"/>
      <c r="B103" s="70" t="s">
        <v>97</v>
      </c>
      <c r="C103" s="70" t="s">
        <v>46</v>
      </c>
      <c r="D103" s="70" t="s">
        <v>98</v>
      </c>
      <c r="E103" s="70" t="s">
        <v>99</v>
      </c>
      <c r="F103" s="70" t="s">
        <v>100</v>
      </c>
      <c r="G103" s="70" t="s">
        <v>101</v>
      </c>
      <c r="H103" s="69"/>
    </row>
    <row r="104" spans="1:8" x14ac:dyDescent="0.3">
      <c r="A104" s="146"/>
      <c r="B104" s="71" t="s">
        <v>112</v>
      </c>
      <c r="C104" s="80"/>
      <c r="D104" s="72">
        <v>7</v>
      </c>
      <c r="E104" s="72">
        <v>1</v>
      </c>
      <c r="F104" s="72">
        <v>0.5</v>
      </c>
      <c r="G104" s="73">
        <f>ROUND(IF(PRODUCT(IF(C104=0,1,C104),IF(D104=0,1,D104),IF(E104=0,1,E104),IF(F104=0,1,F104))=1,0,PRODUCT(IF(C104=0,1,C104),IF(D104=0,1,D104),IF(E104=0,1,E104),IF(F104=0,1,F104))),2)</f>
        <v>3.5</v>
      </c>
      <c r="H104" s="69"/>
    </row>
    <row r="105" spans="1:8" x14ac:dyDescent="0.3">
      <c r="A105" s="146"/>
      <c r="B105" s="71" t="s">
        <v>113</v>
      </c>
      <c r="C105" s="80"/>
      <c r="D105" s="72">
        <v>28.69</v>
      </c>
      <c r="E105" s="72">
        <v>0.5</v>
      </c>
      <c r="F105" s="72">
        <v>0.5</v>
      </c>
      <c r="G105" s="73">
        <f>ROUND(IF(PRODUCT(IF(C105=0,1,C105),IF(D105=0,1,D105),IF(E105=0,1,E105),IF(F105=0,1,F105))=1,0,PRODUCT(IF(C105=0,1,C105),IF(D105=0,1,D105),IF(E105=0,1,E105),IF(F105=0,1,F105))),2)</f>
        <v>7.17</v>
      </c>
      <c r="H105" s="69"/>
    </row>
    <row r="106" spans="1:8" x14ac:dyDescent="0.3">
      <c r="A106" s="146"/>
      <c r="B106" s="71" t="s">
        <v>114</v>
      </c>
      <c r="C106" s="80"/>
      <c r="D106" s="72">
        <v>52.52</v>
      </c>
      <c r="E106" s="72">
        <v>0.5</v>
      </c>
      <c r="F106" s="72">
        <v>0.5</v>
      </c>
      <c r="G106" s="73">
        <f t="shared" ref="G106:G114" si="4">ROUND(IF(PRODUCT(IF(C106=0,1,C106),IF(D106=0,1,D106),IF(E106=0,1,E106),IF(F106=0,1,F106))=1,0,PRODUCT(IF(C106=0,1,C106),IF(D106=0,1,D106),IF(E106=0,1,E106),IF(F106=0,1,F106))),2)</f>
        <v>13.13</v>
      </c>
      <c r="H106" s="69"/>
    </row>
    <row r="107" spans="1:8" x14ac:dyDescent="0.3">
      <c r="A107" s="146"/>
      <c r="B107" s="71" t="s">
        <v>116</v>
      </c>
      <c r="C107" s="80"/>
      <c r="D107" s="72">
        <v>25</v>
      </c>
      <c r="E107" s="72">
        <v>7</v>
      </c>
      <c r="F107" s="72">
        <v>0.3</v>
      </c>
      <c r="G107" s="73">
        <f t="shared" si="4"/>
        <v>52.5</v>
      </c>
      <c r="H107" s="69"/>
    </row>
    <row r="108" spans="1:8" x14ac:dyDescent="0.3">
      <c r="A108" s="146"/>
      <c r="B108" s="71" t="s">
        <v>117</v>
      </c>
      <c r="C108" s="80"/>
      <c r="D108" s="72">
        <v>11.65</v>
      </c>
      <c r="E108" s="72">
        <v>0.5</v>
      </c>
      <c r="F108" s="72">
        <v>1</v>
      </c>
      <c r="G108" s="73">
        <f t="shared" si="4"/>
        <v>5.83</v>
      </c>
      <c r="H108" s="69"/>
    </row>
    <row r="109" spans="1:8" x14ac:dyDescent="0.3">
      <c r="A109" s="146"/>
      <c r="B109" s="71" t="s">
        <v>118</v>
      </c>
      <c r="C109" s="80"/>
      <c r="D109" s="72">
        <v>4.88</v>
      </c>
      <c r="E109" s="72">
        <v>0.5</v>
      </c>
      <c r="F109" s="72">
        <f>(1+2)/2</f>
        <v>1.5</v>
      </c>
      <c r="G109" s="73">
        <f t="shared" si="4"/>
        <v>3.66</v>
      </c>
      <c r="H109" s="69"/>
    </row>
    <row r="110" spans="1:8" x14ac:dyDescent="0.3">
      <c r="A110" s="146"/>
      <c r="B110" s="71" t="s">
        <v>119</v>
      </c>
      <c r="C110" s="80"/>
      <c r="D110" s="72">
        <v>7</v>
      </c>
      <c r="E110" s="72">
        <f>(0.5+1)/2</f>
        <v>0.75</v>
      </c>
      <c r="F110" s="72">
        <v>2</v>
      </c>
      <c r="G110" s="73">
        <f t="shared" si="4"/>
        <v>10.5</v>
      </c>
      <c r="H110" s="69"/>
    </row>
    <row r="111" spans="1:8" x14ac:dyDescent="0.3">
      <c r="A111" s="146"/>
      <c r="B111" s="71" t="s">
        <v>120</v>
      </c>
      <c r="C111" s="80"/>
      <c r="D111" s="72">
        <v>4.43</v>
      </c>
      <c r="E111" s="72">
        <v>0.5</v>
      </c>
      <c r="F111" s="72">
        <f>(1+2)/2</f>
        <v>1.5</v>
      </c>
      <c r="G111" s="73">
        <f t="shared" si="4"/>
        <v>3.32</v>
      </c>
      <c r="H111" s="69"/>
    </row>
    <row r="112" spans="1:8" x14ac:dyDescent="0.3">
      <c r="A112" s="146"/>
      <c r="B112" s="71" t="s">
        <v>121</v>
      </c>
      <c r="C112" s="80"/>
      <c r="D112" s="72">
        <v>7.73</v>
      </c>
      <c r="E112" s="72">
        <v>0.5</v>
      </c>
      <c r="F112" s="72">
        <v>1</v>
      </c>
      <c r="G112" s="73">
        <f t="shared" si="4"/>
        <v>3.87</v>
      </c>
      <c r="H112" s="69"/>
    </row>
    <row r="113" spans="1:8" x14ac:dyDescent="0.3">
      <c r="A113" s="146"/>
      <c r="B113" s="71" t="s">
        <v>122</v>
      </c>
      <c r="C113" s="80"/>
      <c r="D113" s="72">
        <v>52.52</v>
      </c>
      <c r="E113" s="72">
        <v>0.5</v>
      </c>
      <c r="F113" s="72">
        <v>1</v>
      </c>
      <c r="G113" s="73">
        <f t="shared" si="4"/>
        <v>26.26</v>
      </c>
      <c r="H113" s="69"/>
    </row>
    <row r="114" spans="1:8" x14ac:dyDescent="0.3">
      <c r="A114" s="146"/>
      <c r="B114" s="71"/>
      <c r="C114" s="74"/>
      <c r="D114" s="74"/>
      <c r="E114" s="74"/>
      <c r="F114" s="74"/>
      <c r="G114" s="73">
        <f t="shared" si="4"/>
        <v>0</v>
      </c>
      <c r="H114" s="69"/>
    </row>
    <row r="115" spans="1:8" x14ac:dyDescent="0.3">
      <c r="A115" s="146"/>
      <c r="B115" s="68"/>
      <c r="C115" s="75"/>
      <c r="D115" s="147"/>
      <c r="E115" s="76" t="s">
        <v>101</v>
      </c>
      <c r="F115" s="77" t="s">
        <v>102</v>
      </c>
      <c r="G115" s="78">
        <f>SUM(G104:G114)</f>
        <v>129.73999999999998</v>
      </c>
      <c r="H115" s="79" t="s">
        <v>64</v>
      </c>
    </row>
    <row r="116" spans="1:8" x14ac:dyDescent="0.3">
      <c r="A116" s="295" t="s">
        <v>123</v>
      </c>
      <c r="B116" s="292" t="s">
        <v>124</v>
      </c>
      <c r="C116" s="293"/>
      <c r="D116" s="293"/>
      <c r="E116" s="293"/>
      <c r="F116" s="293"/>
      <c r="G116" s="293"/>
      <c r="H116" s="294"/>
    </row>
  </sheetData>
  <mergeCells count="25">
    <mergeCell ref="B102:D102"/>
    <mergeCell ref="B46:D46"/>
    <mergeCell ref="B23:D23"/>
    <mergeCell ref="B29:D29"/>
    <mergeCell ref="B83:D83"/>
    <mergeCell ref="B89:D89"/>
    <mergeCell ref="B94:D94"/>
    <mergeCell ref="B57:D57"/>
    <mergeCell ref="B62:D62"/>
    <mergeCell ref="B73:D73"/>
    <mergeCell ref="B78:D78"/>
    <mergeCell ref="B41:D41"/>
    <mergeCell ref="B52:D52"/>
    <mergeCell ref="B68:D68"/>
    <mergeCell ref="A1:H1"/>
    <mergeCell ref="A3:H3"/>
    <mergeCell ref="A2:H2"/>
    <mergeCell ref="A4:H5"/>
    <mergeCell ref="B6:H6"/>
    <mergeCell ref="B7:E7"/>
    <mergeCell ref="A8:H8"/>
    <mergeCell ref="G7:H7"/>
    <mergeCell ref="B36:D36"/>
    <mergeCell ref="B17:D17"/>
    <mergeCell ref="B11:D11"/>
  </mergeCells>
  <phoneticPr fontId="14" type="noConversion"/>
  <pageMargins left="0.71385416666666668" right="0.52312499999999995" top="1.21875" bottom="0.63749999999999996" header="0.51181102362204722" footer="0.51181102362204722"/>
  <pageSetup paperSize="9" scale="89" orientation="portrait" r:id="rId1"/>
  <headerFooter alignWithMargins="0">
    <oddHeader xml:space="preserve">&amp;L
</oddHead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196"/>
  <sheetViews>
    <sheetView zoomScaleNormal="100" workbookViewId="0">
      <selection activeCell="E185" sqref="E185"/>
    </sheetView>
  </sheetViews>
  <sheetFormatPr defaultColWidth="11.453125" defaultRowHeight="12.5" x14ac:dyDescent="0.25"/>
  <cols>
    <col min="1" max="1" width="7" style="2" customWidth="1"/>
    <col min="2" max="2" width="9.453125" style="2" bestFit="1" customWidth="1"/>
    <col min="3" max="3" width="40.7265625" style="28" customWidth="1"/>
    <col min="4" max="4" width="5.7265625" style="4" customWidth="1"/>
    <col min="5" max="5" width="9.7265625" style="29" customWidth="1"/>
    <col min="6" max="6" width="11.453125" style="29" customWidth="1"/>
    <col min="7" max="7" width="13.54296875" style="29" customWidth="1"/>
    <col min="8" max="12" width="11.453125" hidden="1" customWidth="1"/>
  </cols>
  <sheetData>
    <row r="1" spans="1:14" ht="15.5" x14ac:dyDescent="0.35">
      <c r="A1" s="524" t="str">
        <f>'MC REV'!A1</f>
        <v>PREFEITURA MUNICIPAL DE BOM CONSELHO</v>
      </c>
      <c r="B1" s="525"/>
      <c r="C1" s="525"/>
      <c r="D1" s="525"/>
      <c r="E1" s="525"/>
      <c r="F1" s="525"/>
      <c r="G1" s="525"/>
    </row>
    <row r="2" spans="1:14" ht="15.5" x14ac:dyDescent="0.35">
      <c r="A2" s="524" t="s">
        <v>125</v>
      </c>
      <c r="B2" s="525"/>
      <c r="C2" s="525"/>
      <c r="D2" s="525"/>
      <c r="E2" s="525"/>
      <c r="F2" s="525"/>
      <c r="G2" s="525"/>
    </row>
    <row r="3" spans="1:14" ht="13" x14ac:dyDescent="0.25">
      <c r="A3" s="1"/>
      <c r="B3" s="1"/>
      <c r="C3" s="59"/>
      <c r="D3"/>
      <c r="E3"/>
      <c r="F3"/>
      <c r="G3"/>
    </row>
    <row r="4" spans="1:14" x14ac:dyDescent="0.25">
      <c r="A4" s="1" t="s">
        <v>2</v>
      </c>
      <c r="B4" s="1"/>
      <c r="C4" s="526" t="str">
        <f>'MC REV'!B6</f>
        <v>EXECUÇÃO DOS SERVIÇOS DE CONSTRUÇÃO DE BARRAGEM DE TERRA NO DISTRITO DE LOGRADOURO DOS LEOS</v>
      </c>
      <c r="D4" s="527"/>
      <c r="E4" s="527"/>
      <c r="F4" s="527"/>
      <c r="G4" s="527"/>
    </row>
    <row r="5" spans="1:14" x14ac:dyDescent="0.25">
      <c r="A5" s="1" t="s">
        <v>4</v>
      </c>
      <c r="B5" s="1"/>
      <c r="C5" s="528" t="str">
        <f>'MC REV'!B7</f>
        <v>DISTRITO DE LOGRADOURO DOS LEÕES, BOM CONSELHO - PE</v>
      </c>
      <c r="D5" s="527"/>
      <c r="E5" s="527"/>
      <c r="F5" s="3" t="s">
        <v>126</v>
      </c>
      <c r="G5" s="529">
        <f>'MC REV'!G7</f>
        <v>0</v>
      </c>
      <c r="H5" s="527"/>
      <c r="I5" s="527"/>
    </row>
    <row r="6" spans="1:14" x14ac:dyDescent="0.25">
      <c r="E6" s="5"/>
      <c r="F6" s="5">
        <f>TRUNC(M6*1.372,2)</f>
        <v>0</v>
      </c>
      <c r="G6" s="5"/>
    </row>
    <row r="7" spans="1:14" ht="13" x14ac:dyDescent="0.3">
      <c r="A7" s="6" t="s">
        <v>127</v>
      </c>
      <c r="B7" s="6" t="s">
        <v>128</v>
      </c>
      <c r="C7" s="7" t="s">
        <v>129</v>
      </c>
      <c r="D7" s="8" t="s">
        <v>130</v>
      </c>
      <c r="E7" s="9" t="s">
        <v>131</v>
      </c>
      <c r="F7" s="9" t="s">
        <v>132</v>
      </c>
      <c r="G7" s="9" t="s">
        <v>133</v>
      </c>
      <c r="M7" s="33" t="s">
        <v>134</v>
      </c>
      <c r="N7" s="33" t="s">
        <v>135</v>
      </c>
    </row>
    <row r="8" spans="1:14" ht="13" x14ac:dyDescent="0.3">
      <c r="A8" s="10" t="s">
        <v>8</v>
      </c>
      <c r="B8" s="10"/>
      <c r="C8" s="11" t="s">
        <v>136</v>
      </c>
      <c r="D8" s="12"/>
      <c r="E8" s="13"/>
      <c r="F8" s="13"/>
      <c r="G8" s="27" t="e">
        <f>SUM(G9:G30)</f>
        <v>#REF!</v>
      </c>
      <c r="M8" s="14"/>
    </row>
    <row r="9" spans="1:14" ht="40" x14ac:dyDescent="0.25">
      <c r="A9" s="36"/>
      <c r="B9" s="52" t="s">
        <v>137</v>
      </c>
      <c r="C9" s="38" t="s">
        <v>138</v>
      </c>
      <c r="D9" s="32" t="s">
        <v>40</v>
      </c>
      <c r="E9" s="31" t="e">
        <f>'MC REV'!#REF!</f>
        <v>#REF!</v>
      </c>
      <c r="F9" s="31">
        <f>ROUND(M9*1.24,2)</f>
        <v>0.57999999999999996</v>
      </c>
      <c r="G9" s="13" t="e">
        <f>ROUND(F9*E9,2)</f>
        <v>#REF!</v>
      </c>
      <c r="M9" s="14">
        <v>0.47</v>
      </c>
      <c r="N9" s="5"/>
    </row>
    <row r="10" spans="1:14" ht="40" x14ac:dyDescent="0.25">
      <c r="A10" s="36"/>
      <c r="B10" s="52" t="s">
        <v>139</v>
      </c>
      <c r="C10" s="38" t="s">
        <v>140</v>
      </c>
      <c r="D10" s="32" t="s">
        <v>40</v>
      </c>
      <c r="E10" s="31" t="e">
        <f>'MC REV'!#REF!</f>
        <v>#REF!</v>
      </c>
      <c r="F10" s="31">
        <f t="shared" ref="F10:F73" si="0">ROUND(M10*1.24,2)</f>
        <v>2.02</v>
      </c>
      <c r="G10" s="13" t="e">
        <f t="shared" ref="G10:G76" si="1">ROUND(F10*E10,2)</f>
        <v>#REF!</v>
      </c>
      <c r="M10" s="14">
        <v>1.63</v>
      </c>
      <c r="N10" s="5"/>
    </row>
    <row r="11" spans="1:14" ht="40" x14ac:dyDescent="0.25">
      <c r="A11" s="36"/>
      <c r="B11" s="52" t="s">
        <v>141</v>
      </c>
      <c r="C11" s="38" t="s">
        <v>142</v>
      </c>
      <c r="D11" s="32" t="s">
        <v>40</v>
      </c>
      <c r="E11" s="31" t="e">
        <f>'MC REV'!#REF!</f>
        <v>#REF!</v>
      </c>
      <c r="F11" s="31">
        <f t="shared" si="0"/>
        <v>340.55</v>
      </c>
      <c r="G11" s="13" t="e">
        <f t="shared" si="1"/>
        <v>#REF!</v>
      </c>
      <c r="M11" s="16">
        <v>274.64</v>
      </c>
      <c r="N11" s="5"/>
    </row>
    <row r="12" spans="1:14" ht="40" x14ac:dyDescent="0.25">
      <c r="A12" s="36"/>
      <c r="B12" s="52" t="s">
        <v>143</v>
      </c>
      <c r="C12" s="38" t="s">
        <v>144</v>
      </c>
      <c r="D12" s="32" t="s">
        <v>40</v>
      </c>
      <c r="E12" s="31" t="e">
        <f>'MC REV'!#REF!</f>
        <v>#REF!</v>
      </c>
      <c r="F12" s="31">
        <f t="shared" si="0"/>
        <v>6.41</v>
      </c>
      <c r="G12" s="13" t="e">
        <f t="shared" si="1"/>
        <v>#REF!</v>
      </c>
      <c r="M12" s="16">
        <v>5.17</v>
      </c>
      <c r="N12" s="5"/>
    </row>
    <row r="13" spans="1:14" ht="40" x14ac:dyDescent="0.25">
      <c r="A13" s="36"/>
      <c r="B13" s="52" t="s">
        <v>145</v>
      </c>
      <c r="C13" s="38" t="s">
        <v>146</v>
      </c>
      <c r="D13" s="32" t="s">
        <v>40</v>
      </c>
      <c r="E13" s="31" t="e">
        <f>'MC REV'!#REF!</f>
        <v>#REF!</v>
      </c>
      <c r="F13" s="31">
        <f t="shared" si="0"/>
        <v>189.62</v>
      </c>
      <c r="G13" s="13" t="e">
        <f t="shared" si="1"/>
        <v>#REF!</v>
      </c>
      <c r="M13" s="16">
        <v>152.91999999999999</v>
      </c>
      <c r="N13" s="5"/>
    </row>
    <row r="14" spans="1:14" ht="75" x14ac:dyDescent="0.25">
      <c r="A14" s="36"/>
      <c r="B14" s="52" t="s">
        <v>147</v>
      </c>
      <c r="C14" s="38" t="s">
        <v>148</v>
      </c>
      <c r="D14" s="32" t="s">
        <v>40</v>
      </c>
      <c r="E14" s="31" t="e">
        <f>'MC REV'!#REF!</f>
        <v>#REF!</v>
      </c>
      <c r="F14" s="31">
        <f t="shared" si="0"/>
        <v>192.81</v>
      </c>
      <c r="G14" s="13" t="e">
        <f t="shared" si="1"/>
        <v>#REF!</v>
      </c>
      <c r="M14" s="16">
        <v>155.49</v>
      </c>
      <c r="N14" s="5"/>
    </row>
    <row r="15" spans="1:14" ht="50" x14ac:dyDescent="0.25">
      <c r="A15" s="36"/>
      <c r="B15" s="52" t="s">
        <v>149</v>
      </c>
      <c r="C15" s="38" t="s">
        <v>150</v>
      </c>
      <c r="D15" s="32" t="s">
        <v>40</v>
      </c>
      <c r="E15" s="31" t="e">
        <f>'MC REV'!#REF!</f>
        <v>#REF!</v>
      </c>
      <c r="F15" s="31">
        <f t="shared" si="0"/>
        <v>246.45</v>
      </c>
      <c r="G15" s="13" t="e">
        <f t="shared" si="1"/>
        <v>#REF!</v>
      </c>
      <c r="M15" s="16">
        <v>198.75</v>
      </c>
      <c r="N15" s="5"/>
    </row>
    <row r="16" spans="1:14" ht="62.5" x14ac:dyDescent="0.25">
      <c r="A16" s="36"/>
      <c r="B16" s="52" t="s">
        <v>151</v>
      </c>
      <c r="C16" s="38" t="s">
        <v>152</v>
      </c>
      <c r="D16" s="32" t="s">
        <v>40</v>
      </c>
      <c r="E16" s="31" t="e">
        <f>'MC REV'!#REF!</f>
        <v>#REF!</v>
      </c>
      <c r="F16" s="31">
        <f t="shared" si="0"/>
        <v>190.92</v>
      </c>
      <c r="G16" s="13" t="e">
        <f t="shared" si="1"/>
        <v>#REF!</v>
      </c>
      <c r="M16" s="16">
        <v>153.97</v>
      </c>
      <c r="N16" s="5"/>
    </row>
    <row r="17" spans="1:15" ht="40" x14ac:dyDescent="0.25">
      <c r="A17" s="36"/>
      <c r="B17" s="52" t="s">
        <v>153</v>
      </c>
      <c r="C17" s="38" t="s">
        <v>154</v>
      </c>
      <c r="D17" s="32" t="s">
        <v>40</v>
      </c>
      <c r="E17" s="31" t="e">
        <f>'MC REV'!#REF!</f>
        <v>#REF!</v>
      </c>
      <c r="F17" s="31">
        <f t="shared" si="0"/>
        <v>37.35</v>
      </c>
      <c r="G17" s="13" t="e">
        <f t="shared" si="1"/>
        <v>#REF!</v>
      </c>
      <c r="M17" s="16">
        <v>30.12</v>
      </c>
      <c r="N17" s="5"/>
    </row>
    <row r="18" spans="1:15" ht="40" x14ac:dyDescent="0.25">
      <c r="A18" s="36"/>
      <c r="B18" s="52" t="s">
        <v>155</v>
      </c>
      <c r="C18" s="38" t="s">
        <v>156</v>
      </c>
      <c r="D18" s="32" t="s">
        <v>40</v>
      </c>
      <c r="E18" s="31" t="e">
        <f>'MC REV'!#REF!</f>
        <v>#REF!</v>
      </c>
      <c r="F18" s="31">
        <f t="shared" si="0"/>
        <v>4.04</v>
      </c>
      <c r="G18" s="13" t="e">
        <f t="shared" si="1"/>
        <v>#REF!</v>
      </c>
      <c r="M18" s="16">
        <v>3.26</v>
      </c>
      <c r="N18" s="5"/>
    </row>
    <row r="19" spans="1:15" ht="40" x14ac:dyDescent="0.25">
      <c r="A19" s="36"/>
      <c r="B19" s="52" t="s">
        <v>157</v>
      </c>
      <c r="C19" s="38" t="s">
        <v>158</v>
      </c>
      <c r="D19" s="32" t="s">
        <v>40</v>
      </c>
      <c r="E19" s="31" t="e">
        <f>'MC REV'!#REF!</f>
        <v>#REF!</v>
      </c>
      <c r="F19" s="31">
        <f t="shared" si="0"/>
        <v>2.83</v>
      </c>
      <c r="G19" s="13" t="e">
        <f t="shared" si="1"/>
        <v>#REF!</v>
      </c>
      <c r="M19" s="16">
        <v>2.2799999999999998</v>
      </c>
      <c r="N19" s="5"/>
    </row>
    <row r="20" spans="1:15" ht="40" x14ac:dyDescent="0.25">
      <c r="A20" s="36"/>
      <c r="B20" s="52" t="s">
        <v>159</v>
      </c>
      <c r="C20" s="38" t="s">
        <v>160</v>
      </c>
      <c r="D20" s="32" t="s">
        <v>40</v>
      </c>
      <c r="E20" s="31" t="e">
        <f>'MC REV'!#REF!</f>
        <v>#REF!</v>
      </c>
      <c r="F20" s="31">
        <f t="shared" si="0"/>
        <v>5.65</v>
      </c>
      <c r="G20" s="13" t="e">
        <f t="shared" si="1"/>
        <v>#REF!</v>
      </c>
      <c r="M20" s="16">
        <v>4.5599999999999996</v>
      </c>
      <c r="N20" s="5"/>
    </row>
    <row r="21" spans="1:15" ht="40" x14ac:dyDescent="0.25">
      <c r="A21" s="36"/>
      <c r="B21" s="52" t="s">
        <v>161</v>
      </c>
      <c r="C21" s="38" t="s">
        <v>162</v>
      </c>
      <c r="D21" s="32" t="s">
        <v>40</v>
      </c>
      <c r="E21" s="31" t="e">
        <f>'MC REV'!#REF!</f>
        <v>#REF!</v>
      </c>
      <c r="F21" s="31">
        <f t="shared" si="0"/>
        <v>3.77</v>
      </c>
      <c r="G21" s="13" t="e">
        <f t="shared" si="1"/>
        <v>#REF!</v>
      </c>
      <c r="M21" s="16">
        <v>3.04</v>
      </c>
      <c r="N21" s="5"/>
    </row>
    <row r="22" spans="1:15" ht="40" x14ac:dyDescent="0.25">
      <c r="A22" s="36"/>
      <c r="B22" s="52" t="s">
        <v>163</v>
      </c>
      <c r="C22" s="38" t="s">
        <v>164</v>
      </c>
      <c r="D22" s="32" t="s">
        <v>40</v>
      </c>
      <c r="E22" s="31" t="e">
        <f>'MC REV'!#REF!</f>
        <v>#REF!</v>
      </c>
      <c r="F22" s="31">
        <f t="shared" si="0"/>
        <v>9.44</v>
      </c>
      <c r="G22" s="13" t="e">
        <f t="shared" si="1"/>
        <v>#REF!</v>
      </c>
      <c r="M22" s="16">
        <v>7.61</v>
      </c>
      <c r="N22" s="5"/>
    </row>
    <row r="23" spans="1:15" ht="40" x14ac:dyDescent="0.25">
      <c r="A23" s="36"/>
      <c r="B23" s="52" t="s">
        <v>165</v>
      </c>
      <c r="C23" s="38" t="s">
        <v>166</v>
      </c>
      <c r="D23" s="32" t="s">
        <v>40</v>
      </c>
      <c r="E23" s="31" t="e">
        <f>'MC REV'!#REF!</f>
        <v>#REF!</v>
      </c>
      <c r="F23" s="31">
        <f t="shared" si="0"/>
        <v>7.55</v>
      </c>
      <c r="G23" s="13" t="e">
        <f t="shared" si="1"/>
        <v>#REF!</v>
      </c>
      <c r="M23" s="16">
        <v>6.09</v>
      </c>
      <c r="N23" s="5"/>
    </row>
    <row r="24" spans="1:15" ht="40" x14ac:dyDescent="0.25">
      <c r="A24" s="36"/>
      <c r="B24" s="52" t="s">
        <v>167</v>
      </c>
      <c r="C24" s="38" t="s">
        <v>168</v>
      </c>
      <c r="D24" s="32" t="s">
        <v>46</v>
      </c>
      <c r="E24" s="31" t="e">
        <f>'MC REV'!#REF!</f>
        <v>#REF!</v>
      </c>
      <c r="F24" s="31">
        <f t="shared" si="0"/>
        <v>5.38</v>
      </c>
      <c r="G24" s="13" t="e">
        <f t="shared" si="1"/>
        <v>#REF!</v>
      </c>
      <c r="M24" s="16">
        <v>4.34</v>
      </c>
      <c r="N24" s="5"/>
      <c r="O24" s="33"/>
    </row>
    <row r="25" spans="1:15" ht="40" x14ac:dyDescent="0.25">
      <c r="A25" s="36"/>
      <c r="B25" s="52" t="s">
        <v>169</v>
      </c>
      <c r="C25" s="38" t="s">
        <v>170</v>
      </c>
      <c r="D25" s="32" t="s">
        <v>46</v>
      </c>
      <c r="E25" s="31" t="e">
        <f>'MC REV'!#REF!</f>
        <v>#REF!</v>
      </c>
      <c r="F25" s="31">
        <f t="shared" si="0"/>
        <v>25.87</v>
      </c>
      <c r="G25" s="13" t="e">
        <f t="shared" si="1"/>
        <v>#REF!</v>
      </c>
      <c r="M25" s="16">
        <v>20.86</v>
      </c>
      <c r="N25" s="5"/>
    </row>
    <row r="26" spans="1:15" ht="40" x14ac:dyDescent="0.25">
      <c r="A26" s="36"/>
      <c r="B26" s="53" t="s">
        <v>171</v>
      </c>
      <c r="C26" s="39" t="s">
        <v>172</v>
      </c>
      <c r="D26" s="40" t="s">
        <v>40</v>
      </c>
      <c r="E26" s="31" t="e">
        <f>'MC REV'!#REF!</f>
        <v>#REF!</v>
      </c>
      <c r="F26" s="31">
        <f t="shared" si="0"/>
        <v>12.14</v>
      </c>
      <c r="G26" s="13" t="e">
        <f t="shared" si="1"/>
        <v>#REF!</v>
      </c>
      <c r="M26" s="16">
        <v>9.7899999999999991</v>
      </c>
      <c r="N26" s="5"/>
    </row>
    <row r="27" spans="1:15" ht="40" x14ac:dyDescent="0.25">
      <c r="A27" s="36"/>
      <c r="B27" s="52" t="s">
        <v>173</v>
      </c>
      <c r="C27" s="38" t="s">
        <v>174</v>
      </c>
      <c r="D27" s="32" t="s">
        <v>40</v>
      </c>
      <c r="E27" s="31" t="e">
        <f>'MC REV'!#REF!</f>
        <v>#REF!</v>
      </c>
      <c r="F27" s="31">
        <f t="shared" si="0"/>
        <v>4.04</v>
      </c>
      <c r="G27" s="13" t="e">
        <f t="shared" si="1"/>
        <v>#REF!</v>
      </c>
      <c r="M27" s="16">
        <v>3.26</v>
      </c>
      <c r="N27" s="5"/>
    </row>
    <row r="28" spans="1:15" ht="40" x14ac:dyDescent="0.25">
      <c r="A28" s="36"/>
      <c r="B28" s="52" t="s">
        <v>175</v>
      </c>
      <c r="C28" s="38" t="s">
        <v>176</v>
      </c>
      <c r="D28" s="32" t="s">
        <v>64</v>
      </c>
      <c r="E28" s="31" t="e">
        <f>'MC REV'!#REF!</f>
        <v>#REF!</v>
      </c>
      <c r="F28" s="31">
        <f t="shared" si="0"/>
        <v>45.89</v>
      </c>
      <c r="G28" s="13" t="e">
        <f t="shared" si="1"/>
        <v>#REF!</v>
      </c>
      <c r="M28" s="16">
        <v>37.01</v>
      </c>
      <c r="N28" s="5"/>
    </row>
    <row r="29" spans="1:15" ht="40" x14ac:dyDescent="0.25">
      <c r="A29" s="36"/>
      <c r="B29" s="52" t="s">
        <v>177</v>
      </c>
      <c r="C29" s="38" t="s">
        <v>178</v>
      </c>
      <c r="D29" s="32" t="s">
        <v>64</v>
      </c>
      <c r="E29" s="31" t="e">
        <f>'MC REV'!#REF!</f>
        <v>#REF!</v>
      </c>
      <c r="F29" s="31">
        <f t="shared" si="0"/>
        <v>105.31</v>
      </c>
      <c r="G29" s="13" t="e">
        <f t="shared" si="1"/>
        <v>#REF!</v>
      </c>
      <c r="M29" s="16">
        <v>84.93</v>
      </c>
      <c r="N29" s="5"/>
    </row>
    <row r="30" spans="1:15" ht="40" x14ac:dyDescent="0.25">
      <c r="A30" s="36"/>
      <c r="B30" s="52" t="s">
        <v>179</v>
      </c>
      <c r="C30" s="38" t="s">
        <v>180</v>
      </c>
      <c r="D30" s="32" t="s">
        <v>40</v>
      </c>
      <c r="E30" s="31" t="e">
        <f>'MC REV'!#REF!</f>
        <v>#REF!</v>
      </c>
      <c r="F30" s="31">
        <f t="shared" si="0"/>
        <v>6.84</v>
      </c>
      <c r="G30" s="13" t="e">
        <f t="shared" si="1"/>
        <v>#REF!</v>
      </c>
      <c r="M30" s="50">
        <v>5.52</v>
      </c>
      <c r="N30" s="5"/>
    </row>
    <row r="31" spans="1:15" ht="13" x14ac:dyDescent="0.3">
      <c r="A31" s="10" t="s">
        <v>10</v>
      </c>
      <c r="B31" s="54"/>
      <c r="C31" s="11" t="s">
        <v>181</v>
      </c>
      <c r="D31" s="12"/>
      <c r="E31" s="13"/>
      <c r="F31" s="31">
        <f t="shared" si="0"/>
        <v>0</v>
      </c>
      <c r="G31" s="27" t="e">
        <f>SUM(G32:G37)</f>
        <v>#REF!</v>
      </c>
      <c r="M31" s="14"/>
    </row>
    <row r="32" spans="1:15" ht="50" x14ac:dyDescent="0.25">
      <c r="A32" s="36"/>
      <c r="B32" s="52" t="s">
        <v>182</v>
      </c>
      <c r="C32" s="38" t="s">
        <v>183</v>
      </c>
      <c r="D32" s="32" t="s">
        <v>64</v>
      </c>
      <c r="E32" s="31" t="e">
        <f>'MC REV'!#REF!</f>
        <v>#REF!</v>
      </c>
      <c r="F32" s="31">
        <f t="shared" si="0"/>
        <v>28.35</v>
      </c>
      <c r="G32" s="13" t="e">
        <f t="shared" si="1"/>
        <v>#REF!</v>
      </c>
      <c r="M32" s="14">
        <v>22.86</v>
      </c>
      <c r="N32" s="5"/>
    </row>
    <row r="33" spans="1:15" ht="40" x14ac:dyDescent="0.25">
      <c r="A33" s="17"/>
      <c r="B33" s="52" t="s">
        <v>184</v>
      </c>
      <c r="C33" s="38" t="s">
        <v>185</v>
      </c>
      <c r="D33" s="32" t="s">
        <v>64</v>
      </c>
      <c r="E33" s="31" t="e">
        <f>'MC REV'!#REF!</f>
        <v>#REF!</v>
      </c>
      <c r="F33" s="31">
        <f t="shared" si="0"/>
        <v>494.44</v>
      </c>
      <c r="G33" s="13" t="e">
        <f t="shared" si="1"/>
        <v>#REF!</v>
      </c>
      <c r="M33" s="14">
        <v>398.74</v>
      </c>
      <c r="N33" s="5"/>
      <c r="O33" s="33"/>
    </row>
    <row r="34" spans="1:15" ht="50" x14ac:dyDescent="0.25">
      <c r="A34" s="17"/>
      <c r="B34" s="52" t="s">
        <v>186</v>
      </c>
      <c r="C34" s="38" t="s">
        <v>187</v>
      </c>
      <c r="D34" s="32" t="s">
        <v>64</v>
      </c>
      <c r="E34" s="31" t="e">
        <f>'MC REV'!#REF!</f>
        <v>#REF!</v>
      </c>
      <c r="F34" s="31">
        <f t="shared" si="0"/>
        <v>1545.96</v>
      </c>
      <c r="G34" s="13" t="e">
        <f t="shared" si="1"/>
        <v>#REF!</v>
      </c>
      <c r="M34" s="43">
        <v>1246.74</v>
      </c>
      <c r="N34" s="5"/>
    </row>
    <row r="35" spans="1:15" ht="50" x14ac:dyDescent="0.25">
      <c r="A35" s="17"/>
      <c r="B35" s="52" t="s">
        <v>188</v>
      </c>
      <c r="C35" s="38" t="s">
        <v>189</v>
      </c>
      <c r="D35" s="32" t="s">
        <v>40</v>
      </c>
      <c r="E35" s="31" t="e">
        <f>'MC REV'!#REF!</f>
        <v>#REF!</v>
      </c>
      <c r="F35" s="31">
        <f t="shared" si="0"/>
        <v>54.71</v>
      </c>
      <c r="G35" s="13" t="e">
        <f t="shared" si="1"/>
        <v>#REF!</v>
      </c>
      <c r="M35" s="14">
        <v>44.12</v>
      </c>
      <c r="N35" s="5"/>
    </row>
    <row r="36" spans="1:15" ht="40" x14ac:dyDescent="0.25">
      <c r="A36" s="17"/>
      <c r="B36" s="52" t="s">
        <v>190</v>
      </c>
      <c r="C36" s="38" t="s">
        <v>191</v>
      </c>
      <c r="D36" s="32" t="s">
        <v>64</v>
      </c>
      <c r="E36" s="31" t="e">
        <f>'MC REV'!#REF!</f>
        <v>#REF!</v>
      </c>
      <c r="F36" s="31">
        <f t="shared" si="0"/>
        <v>112.95</v>
      </c>
      <c r="G36" s="13" t="e">
        <f t="shared" si="1"/>
        <v>#REF!</v>
      </c>
      <c r="M36" s="14">
        <v>91.09</v>
      </c>
      <c r="N36" s="5"/>
    </row>
    <row r="37" spans="1:15" ht="40" x14ac:dyDescent="0.25">
      <c r="A37" s="36"/>
      <c r="B37" s="52" t="s">
        <v>192</v>
      </c>
      <c r="C37" s="38" t="s">
        <v>193</v>
      </c>
      <c r="D37" s="32" t="s">
        <v>64</v>
      </c>
      <c r="E37" s="31" t="e">
        <f>'MC REV'!#REF!</f>
        <v>#REF!</v>
      </c>
      <c r="F37" s="31">
        <f t="shared" si="0"/>
        <v>17</v>
      </c>
      <c r="G37" s="13" t="e">
        <f t="shared" si="1"/>
        <v>#REF!</v>
      </c>
      <c r="M37" s="14">
        <v>13.71</v>
      </c>
      <c r="N37" s="5"/>
    </row>
    <row r="38" spans="1:15" ht="13" x14ac:dyDescent="0.3">
      <c r="A38" s="10" t="s">
        <v>12</v>
      </c>
      <c r="B38" s="54"/>
      <c r="C38" s="11" t="s">
        <v>194</v>
      </c>
      <c r="D38" s="12"/>
      <c r="E38" s="13"/>
      <c r="F38" s="31">
        <f t="shared" si="0"/>
        <v>0</v>
      </c>
      <c r="G38" s="27" t="e">
        <f>SUM(G39:G44)</f>
        <v>#REF!</v>
      </c>
      <c r="M38" s="14"/>
      <c r="N38" s="41"/>
    </row>
    <row r="39" spans="1:15" ht="62.5" x14ac:dyDescent="0.25">
      <c r="A39" s="17"/>
      <c r="B39" s="52" t="s">
        <v>195</v>
      </c>
      <c r="C39" s="38" t="s">
        <v>196</v>
      </c>
      <c r="D39" s="32" t="s">
        <v>64</v>
      </c>
      <c r="E39" s="31" t="e">
        <f>'MC REV'!#REF!</f>
        <v>#REF!</v>
      </c>
      <c r="F39" s="31">
        <f t="shared" si="0"/>
        <v>2218.5700000000002</v>
      </c>
      <c r="G39" s="13" t="e">
        <f t="shared" si="1"/>
        <v>#REF!</v>
      </c>
      <c r="M39" s="43">
        <v>1789.17</v>
      </c>
      <c r="N39" s="5"/>
    </row>
    <row r="40" spans="1:15" ht="50" x14ac:dyDescent="0.25">
      <c r="A40" s="17"/>
      <c r="B40" s="52" t="s">
        <v>197</v>
      </c>
      <c r="C40" s="38" t="s">
        <v>198</v>
      </c>
      <c r="D40" s="32" t="s">
        <v>40</v>
      </c>
      <c r="E40" s="31" t="e">
        <f>'MC REV'!#REF!</f>
        <v>#REF!</v>
      </c>
      <c r="F40" s="31">
        <f t="shared" si="0"/>
        <v>36.200000000000003</v>
      </c>
      <c r="G40" s="13" t="e">
        <f t="shared" si="1"/>
        <v>#REF!</v>
      </c>
      <c r="M40" s="14">
        <v>29.19</v>
      </c>
      <c r="N40" s="5"/>
    </row>
    <row r="41" spans="1:15" ht="62.5" x14ac:dyDescent="0.25">
      <c r="A41" s="17"/>
      <c r="B41" s="52" t="s">
        <v>199</v>
      </c>
      <c r="C41" s="38" t="s">
        <v>200</v>
      </c>
      <c r="D41" s="32" t="s">
        <v>40</v>
      </c>
      <c r="E41" s="31" t="e">
        <f>'MC REV'!#REF!</f>
        <v>#REF!</v>
      </c>
      <c r="F41" s="31">
        <f t="shared" si="0"/>
        <v>73.06</v>
      </c>
      <c r="G41" s="13" t="e">
        <f t="shared" si="1"/>
        <v>#REF!</v>
      </c>
      <c r="M41" s="14">
        <v>58.92</v>
      </c>
      <c r="N41" s="5"/>
    </row>
    <row r="42" spans="1:15" ht="75" x14ac:dyDescent="0.25">
      <c r="A42" s="17"/>
      <c r="B42" s="52" t="s">
        <v>201</v>
      </c>
      <c r="C42" s="38" t="s">
        <v>202</v>
      </c>
      <c r="D42" s="32" t="s">
        <v>40</v>
      </c>
      <c r="E42" s="31" t="e">
        <f>'MC REV'!#REF!</f>
        <v>#REF!</v>
      </c>
      <c r="F42" s="31">
        <f t="shared" si="0"/>
        <v>62.3</v>
      </c>
      <c r="G42" s="13" t="e">
        <f t="shared" si="1"/>
        <v>#REF!</v>
      </c>
      <c r="M42" s="14">
        <v>50.24</v>
      </c>
      <c r="N42" s="5"/>
    </row>
    <row r="43" spans="1:15" ht="75" x14ac:dyDescent="0.25">
      <c r="A43" s="17"/>
      <c r="B43" s="52" t="s">
        <v>203</v>
      </c>
      <c r="C43" s="38" t="s">
        <v>204</v>
      </c>
      <c r="D43" s="32"/>
      <c r="E43" s="31" t="e">
        <f>'MC REV'!#REF!</f>
        <v>#REF!</v>
      </c>
      <c r="F43" s="31">
        <f t="shared" si="0"/>
        <v>70.22</v>
      </c>
      <c r="G43" s="13" t="e">
        <f t="shared" si="1"/>
        <v>#REF!</v>
      </c>
      <c r="M43" s="14">
        <v>56.63</v>
      </c>
      <c r="N43" s="5"/>
    </row>
    <row r="44" spans="1:15" ht="40" x14ac:dyDescent="0.25">
      <c r="A44" s="17"/>
      <c r="B44" s="52" t="s">
        <v>205</v>
      </c>
      <c r="C44" s="38" t="s">
        <v>206</v>
      </c>
      <c r="D44" s="32" t="s">
        <v>40</v>
      </c>
      <c r="E44" s="31" t="e">
        <f>'MC REV'!#REF!</f>
        <v>#REF!</v>
      </c>
      <c r="F44" s="31">
        <f t="shared" si="0"/>
        <v>101.28</v>
      </c>
      <c r="G44" s="13" t="e">
        <f t="shared" si="1"/>
        <v>#REF!</v>
      </c>
      <c r="M44" s="14">
        <v>81.680000000000007</v>
      </c>
      <c r="N44" s="5"/>
    </row>
    <row r="45" spans="1:15" ht="13" x14ac:dyDescent="0.3">
      <c r="A45" s="10" t="s">
        <v>14</v>
      </c>
      <c r="B45" s="54"/>
      <c r="C45" s="11" t="s">
        <v>207</v>
      </c>
      <c r="D45" s="12"/>
      <c r="E45" s="13"/>
      <c r="F45" s="31">
        <f t="shared" si="0"/>
        <v>0</v>
      </c>
      <c r="G45" s="27" t="e">
        <f>SUM(G46:G60)</f>
        <v>#REF!</v>
      </c>
      <c r="M45" s="14"/>
      <c r="N45" s="5"/>
    </row>
    <row r="46" spans="1:15" ht="40" x14ac:dyDescent="0.25">
      <c r="A46" s="36"/>
      <c r="B46" s="52" t="s">
        <v>208</v>
      </c>
      <c r="C46" s="38" t="s">
        <v>209</v>
      </c>
      <c r="D46" s="32" t="s">
        <v>40</v>
      </c>
      <c r="E46" s="31" t="e">
        <f>'MC REV'!#REF!</f>
        <v>#REF!</v>
      </c>
      <c r="F46" s="31">
        <f t="shared" si="0"/>
        <v>113.62</v>
      </c>
      <c r="G46" s="13" t="e">
        <f t="shared" si="1"/>
        <v>#REF!</v>
      </c>
      <c r="M46" s="14">
        <v>91.63</v>
      </c>
      <c r="N46" s="5"/>
    </row>
    <row r="47" spans="1:15" ht="40" x14ac:dyDescent="0.25">
      <c r="A47" s="36"/>
      <c r="B47" s="52" t="s">
        <v>210</v>
      </c>
      <c r="C47" s="38" t="s">
        <v>211</v>
      </c>
      <c r="D47" s="32" t="s">
        <v>40</v>
      </c>
      <c r="E47" s="31" t="e">
        <f>'MC REV'!#REF!</f>
        <v>#REF!</v>
      </c>
      <c r="F47" s="31">
        <f t="shared" si="0"/>
        <v>73.97</v>
      </c>
      <c r="G47" s="13" t="e">
        <f t="shared" si="1"/>
        <v>#REF!</v>
      </c>
      <c r="M47" s="14">
        <v>59.65</v>
      </c>
      <c r="N47" s="5"/>
    </row>
    <row r="48" spans="1:15" ht="102.75" customHeight="1" x14ac:dyDescent="0.25">
      <c r="A48" s="36"/>
      <c r="B48" s="52" t="s">
        <v>212</v>
      </c>
      <c r="C48" s="38" t="s">
        <v>213</v>
      </c>
      <c r="D48" s="32" t="s">
        <v>40</v>
      </c>
      <c r="E48" s="45" t="e">
        <f>'MC REV'!#REF!</f>
        <v>#REF!</v>
      </c>
      <c r="F48" s="31">
        <f t="shared" si="0"/>
        <v>68.31</v>
      </c>
      <c r="G48" s="45" t="e">
        <f t="shared" si="1"/>
        <v>#REF!</v>
      </c>
      <c r="H48" s="33"/>
      <c r="I48" s="33"/>
      <c r="J48" s="33"/>
      <c r="K48" s="33"/>
      <c r="L48" s="33"/>
      <c r="M48" s="43">
        <v>55.09</v>
      </c>
      <c r="N48" s="5"/>
    </row>
    <row r="49" spans="1:16" ht="40" x14ac:dyDescent="0.25">
      <c r="A49" s="36"/>
      <c r="B49" s="52" t="s">
        <v>214</v>
      </c>
      <c r="C49" s="38" t="s">
        <v>215</v>
      </c>
      <c r="D49" s="32" t="s">
        <v>40</v>
      </c>
      <c r="E49" s="31" t="e">
        <f>'MC REV'!#REF!</f>
        <v>#REF!</v>
      </c>
      <c r="F49" s="31">
        <f t="shared" si="0"/>
        <v>37.6</v>
      </c>
      <c r="G49" s="13" t="e">
        <f t="shared" si="1"/>
        <v>#REF!</v>
      </c>
      <c r="M49" s="14">
        <v>30.32</v>
      </c>
      <c r="N49" s="5"/>
    </row>
    <row r="50" spans="1:16" ht="40" x14ac:dyDescent="0.25">
      <c r="A50" s="36"/>
      <c r="B50" s="52" t="s">
        <v>216</v>
      </c>
      <c r="C50" s="38" t="s">
        <v>217</v>
      </c>
      <c r="D50" s="32" t="s">
        <v>40</v>
      </c>
      <c r="E50" s="31" t="e">
        <f>'MC REV'!#REF!</f>
        <v>#REF!</v>
      </c>
      <c r="F50" s="31">
        <f t="shared" si="0"/>
        <v>5.31</v>
      </c>
      <c r="G50" s="13" t="e">
        <f t="shared" si="1"/>
        <v>#REF!</v>
      </c>
      <c r="M50" s="14">
        <f>ROUND((N50)-(O50*P50),2)</f>
        <v>4.28</v>
      </c>
      <c r="N50" s="5">
        <v>30.32</v>
      </c>
      <c r="O50">
        <v>0.93</v>
      </c>
      <c r="P50" s="33">
        <v>28</v>
      </c>
    </row>
    <row r="51" spans="1:16" ht="40" x14ac:dyDescent="0.25">
      <c r="A51" s="36"/>
      <c r="B51" s="52" t="s">
        <v>218</v>
      </c>
      <c r="C51" s="38" t="s">
        <v>219</v>
      </c>
      <c r="D51" s="32" t="s">
        <v>40</v>
      </c>
      <c r="E51" s="45" t="e">
        <f>'MC REV'!#REF!</f>
        <v>#REF!</v>
      </c>
      <c r="F51" s="45">
        <f t="shared" si="0"/>
        <v>53.74</v>
      </c>
      <c r="G51" s="45" t="e">
        <f t="shared" si="1"/>
        <v>#REF!</v>
      </c>
      <c r="H51" s="33"/>
      <c r="I51" s="33"/>
      <c r="J51" s="33"/>
      <c r="K51" s="33"/>
      <c r="L51" s="33"/>
      <c r="M51" s="43">
        <v>43.34</v>
      </c>
      <c r="N51" s="5"/>
    </row>
    <row r="52" spans="1:16" ht="40" x14ac:dyDescent="0.25">
      <c r="A52" s="36"/>
      <c r="B52" s="52" t="s">
        <v>220</v>
      </c>
      <c r="C52" s="38" t="s">
        <v>221</v>
      </c>
      <c r="D52" s="32" t="s">
        <v>111</v>
      </c>
      <c r="E52" s="31" t="e">
        <f>'MC REV'!#REF!</f>
        <v>#REF!</v>
      </c>
      <c r="F52" s="31">
        <f t="shared" si="0"/>
        <v>49.03</v>
      </c>
      <c r="G52" s="13" t="e">
        <f t="shared" si="1"/>
        <v>#REF!</v>
      </c>
      <c r="M52" s="14">
        <v>39.54</v>
      </c>
      <c r="N52" s="5"/>
    </row>
    <row r="53" spans="1:16" ht="50" x14ac:dyDescent="0.25">
      <c r="A53" s="36"/>
      <c r="B53" s="52" t="s">
        <v>222</v>
      </c>
      <c r="C53" s="38" t="s">
        <v>223</v>
      </c>
      <c r="D53" s="32" t="s">
        <v>111</v>
      </c>
      <c r="E53" s="31" t="e">
        <f>'MC REV'!#REF!</f>
        <v>#REF!</v>
      </c>
      <c r="F53" s="31">
        <f t="shared" si="0"/>
        <v>121.48</v>
      </c>
      <c r="G53" s="13" t="e">
        <f t="shared" si="1"/>
        <v>#REF!</v>
      </c>
      <c r="M53" s="14">
        <v>97.97</v>
      </c>
      <c r="N53" s="5"/>
    </row>
    <row r="54" spans="1:16" ht="37.5" x14ac:dyDescent="0.25">
      <c r="A54" s="36"/>
      <c r="B54" s="52" t="s">
        <v>224</v>
      </c>
      <c r="C54" s="38" t="s">
        <v>225</v>
      </c>
      <c r="D54" s="32" t="s">
        <v>111</v>
      </c>
      <c r="E54" s="31" t="e">
        <f>'MC REV'!#REF!</f>
        <v>#REF!</v>
      </c>
      <c r="F54" s="31">
        <f t="shared" si="0"/>
        <v>16.28</v>
      </c>
      <c r="G54" s="13" t="e">
        <f t="shared" si="1"/>
        <v>#REF!</v>
      </c>
      <c r="M54" s="14">
        <v>13.13</v>
      </c>
      <c r="N54" s="5"/>
    </row>
    <row r="55" spans="1:16" ht="50" x14ac:dyDescent="0.25">
      <c r="A55" s="36"/>
      <c r="B55" s="52" t="s">
        <v>226</v>
      </c>
      <c r="C55" s="38" t="s">
        <v>227</v>
      </c>
      <c r="D55" s="32" t="s">
        <v>111</v>
      </c>
      <c r="E55" s="31" t="e">
        <f>'MC REV'!#REF!</f>
        <v>#REF!</v>
      </c>
      <c r="F55" s="31">
        <f t="shared" si="0"/>
        <v>6.55</v>
      </c>
      <c r="G55" s="13" t="e">
        <f t="shared" si="1"/>
        <v>#REF!</v>
      </c>
      <c r="M55" s="14">
        <v>5.28</v>
      </c>
      <c r="N55" s="5"/>
    </row>
    <row r="56" spans="1:16" ht="40" x14ac:dyDescent="0.25">
      <c r="A56" s="36"/>
      <c r="B56" s="52" t="s">
        <v>228</v>
      </c>
      <c r="C56" s="38" t="s">
        <v>229</v>
      </c>
      <c r="D56" s="32" t="s">
        <v>111</v>
      </c>
      <c r="E56" s="31" t="e">
        <f>'MC REV'!#REF!</f>
        <v>#REF!</v>
      </c>
      <c r="F56" s="31">
        <f t="shared" si="0"/>
        <v>43.44</v>
      </c>
      <c r="G56" s="13" t="e">
        <f t="shared" si="1"/>
        <v>#REF!</v>
      </c>
      <c r="M56" s="14">
        <v>35.03</v>
      </c>
      <c r="N56" s="5"/>
    </row>
    <row r="57" spans="1:16" ht="75" x14ac:dyDescent="0.25">
      <c r="A57" s="36"/>
      <c r="B57" s="52" t="s">
        <v>230</v>
      </c>
      <c r="C57" s="38" t="s">
        <v>231</v>
      </c>
      <c r="D57" s="32" t="s">
        <v>111</v>
      </c>
      <c r="E57" s="31" t="e">
        <f>'MC REV'!#REF!</f>
        <v>#REF!</v>
      </c>
      <c r="F57" s="31">
        <f t="shared" si="0"/>
        <v>89.03</v>
      </c>
      <c r="G57" s="13" t="e">
        <f t="shared" si="1"/>
        <v>#REF!</v>
      </c>
      <c r="M57" s="14">
        <v>71.8</v>
      </c>
      <c r="N57" s="5"/>
    </row>
    <row r="58" spans="1:16" ht="40" x14ac:dyDescent="0.25">
      <c r="A58" s="36"/>
      <c r="B58" s="52" t="s">
        <v>232</v>
      </c>
      <c r="C58" s="38" t="s">
        <v>233</v>
      </c>
      <c r="D58" s="32" t="s">
        <v>111</v>
      </c>
      <c r="E58" s="31" t="e">
        <f>'MC REV'!#REF!</f>
        <v>#REF!</v>
      </c>
      <c r="F58" s="31">
        <f t="shared" si="0"/>
        <v>18.149999999999999</v>
      </c>
      <c r="G58" s="13" t="e">
        <f t="shared" si="1"/>
        <v>#REF!</v>
      </c>
      <c r="M58" s="14">
        <v>14.64</v>
      </c>
      <c r="N58" s="5"/>
    </row>
    <row r="59" spans="1:16" ht="62.5" x14ac:dyDescent="0.25">
      <c r="A59" s="36"/>
      <c r="B59" s="52" t="s">
        <v>234</v>
      </c>
      <c r="C59" s="38" t="s">
        <v>235</v>
      </c>
      <c r="D59" s="32" t="s">
        <v>40</v>
      </c>
      <c r="E59" s="31" t="e">
        <f>'MC REV'!#REF!</f>
        <v>#REF!</v>
      </c>
      <c r="F59" s="31">
        <f t="shared" si="0"/>
        <v>58.59</v>
      </c>
      <c r="G59" s="13" t="e">
        <f t="shared" si="1"/>
        <v>#REF!</v>
      </c>
      <c r="M59" s="14">
        <v>47.25</v>
      </c>
      <c r="N59" s="5"/>
    </row>
    <row r="60" spans="1:16" x14ac:dyDescent="0.25">
      <c r="A60" s="36"/>
      <c r="B60" s="52"/>
      <c r="C60" s="38"/>
      <c r="D60" s="32"/>
      <c r="E60" s="31" t="e">
        <f>'MC REV'!#REF!</f>
        <v>#REF!</v>
      </c>
      <c r="F60" s="31">
        <f t="shared" si="0"/>
        <v>0</v>
      </c>
      <c r="G60" s="13" t="e">
        <f t="shared" si="1"/>
        <v>#REF!</v>
      </c>
      <c r="M60" s="14"/>
      <c r="N60" s="5"/>
    </row>
    <row r="61" spans="1:16" ht="13" x14ac:dyDescent="0.3">
      <c r="A61" s="10" t="s">
        <v>236</v>
      </c>
      <c r="B61" s="54"/>
      <c r="C61" s="11" t="s">
        <v>237</v>
      </c>
      <c r="D61" s="12"/>
      <c r="E61" s="13"/>
      <c r="F61" s="31">
        <f t="shared" si="0"/>
        <v>0</v>
      </c>
      <c r="G61" s="27" t="e">
        <f>SUM(G62:G76)</f>
        <v>#REF!</v>
      </c>
      <c r="M61" s="14"/>
      <c r="N61" s="5"/>
    </row>
    <row r="62" spans="1:16" ht="50" x14ac:dyDescent="0.25">
      <c r="A62" s="36"/>
      <c r="B62" s="52" t="s">
        <v>238</v>
      </c>
      <c r="C62" s="35" t="s">
        <v>239</v>
      </c>
      <c r="D62" s="32" t="s">
        <v>40</v>
      </c>
      <c r="E62" s="31" t="e">
        <f>'MC REV'!#REF!</f>
        <v>#REF!</v>
      </c>
      <c r="F62" s="31">
        <f t="shared" si="0"/>
        <v>170.95</v>
      </c>
      <c r="G62" s="13" t="e">
        <f t="shared" si="1"/>
        <v>#REF!</v>
      </c>
      <c r="M62" s="14">
        <f>ROUND(N62/1.68,2)</f>
        <v>137.86000000000001</v>
      </c>
      <c r="N62" s="5">
        <v>231.6</v>
      </c>
      <c r="O62" s="33" t="s">
        <v>240</v>
      </c>
    </row>
    <row r="63" spans="1:16" ht="50" x14ac:dyDescent="0.25">
      <c r="A63" s="17"/>
      <c r="B63" s="52" t="s">
        <v>241</v>
      </c>
      <c r="C63" s="35" t="s">
        <v>242</v>
      </c>
      <c r="D63" s="32" t="s">
        <v>40</v>
      </c>
      <c r="E63" s="31" t="e">
        <f>'MC REV'!#REF!</f>
        <v>#REF!</v>
      </c>
      <c r="F63" s="31">
        <f t="shared" si="0"/>
        <v>324.35000000000002</v>
      </c>
      <c r="G63" s="13" t="e">
        <f t="shared" si="1"/>
        <v>#REF!</v>
      </c>
      <c r="M63" s="14">
        <f>ROUND(N63/1.68,2)</f>
        <v>261.57</v>
      </c>
      <c r="N63" s="5">
        <v>439.44</v>
      </c>
      <c r="O63" s="33" t="s">
        <v>240</v>
      </c>
    </row>
    <row r="64" spans="1:16" ht="40" x14ac:dyDescent="0.25">
      <c r="A64" s="36"/>
      <c r="B64" s="52" t="s">
        <v>243</v>
      </c>
      <c r="C64" s="35" t="s">
        <v>244</v>
      </c>
      <c r="D64" s="32" t="s">
        <v>40</v>
      </c>
      <c r="E64" s="31" t="e">
        <f>'MC REV'!#REF!</f>
        <v>#REF!</v>
      </c>
      <c r="F64" s="31">
        <f t="shared" si="0"/>
        <v>341.71</v>
      </c>
      <c r="G64" s="13" t="e">
        <f t="shared" si="1"/>
        <v>#REF!</v>
      </c>
      <c r="M64" s="14">
        <f>ROUND(N64/2.25,2)</f>
        <v>275.57</v>
      </c>
      <c r="N64" s="5">
        <v>620.03</v>
      </c>
      <c r="O64" s="33" t="s">
        <v>245</v>
      </c>
    </row>
    <row r="65" spans="1:15" ht="40" x14ac:dyDescent="0.25">
      <c r="A65" s="36"/>
      <c r="B65" s="52" t="s">
        <v>246</v>
      </c>
      <c r="C65" s="35" t="s">
        <v>247</v>
      </c>
      <c r="D65" s="32" t="s">
        <v>40</v>
      </c>
      <c r="E65" s="31" t="e">
        <f>'MC REV'!#REF!</f>
        <v>#REF!</v>
      </c>
      <c r="F65" s="31">
        <f t="shared" si="0"/>
        <v>448.61</v>
      </c>
      <c r="G65" s="13" t="e">
        <f t="shared" si="1"/>
        <v>#REF!</v>
      </c>
      <c r="M65" s="14">
        <v>361.78</v>
      </c>
      <c r="N65" s="5"/>
    </row>
    <row r="66" spans="1:15" ht="40" x14ac:dyDescent="0.25">
      <c r="A66" s="36"/>
      <c r="B66" s="52" t="s">
        <v>248</v>
      </c>
      <c r="C66" s="35" t="s">
        <v>249</v>
      </c>
      <c r="D66" s="32" t="s">
        <v>40</v>
      </c>
      <c r="E66" s="31" t="e">
        <f>'MC REV'!#REF!</f>
        <v>#REF!</v>
      </c>
      <c r="F66" s="31">
        <f t="shared" si="0"/>
        <v>678.08</v>
      </c>
      <c r="G66" s="13" t="e">
        <f t="shared" si="1"/>
        <v>#REF!</v>
      </c>
      <c r="M66" s="14">
        <v>546.84</v>
      </c>
      <c r="N66" s="5"/>
    </row>
    <row r="67" spans="1:15" ht="40" x14ac:dyDescent="0.25">
      <c r="A67" s="36"/>
      <c r="B67" s="52" t="s">
        <v>250</v>
      </c>
      <c r="C67" s="35" t="s">
        <v>251</v>
      </c>
      <c r="D67" s="32" t="s">
        <v>46</v>
      </c>
      <c r="E67" s="31" t="e">
        <f>'MC REV'!#REF!</f>
        <v>#REF!</v>
      </c>
      <c r="F67" s="31">
        <f t="shared" si="0"/>
        <v>56.61</v>
      </c>
      <c r="G67" s="13" t="e">
        <f t="shared" si="1"/>
        <v>#REF!</v>
      </c>
      <c r="M67" s="14">
        <v>45.65</v>
      </c>
      <c r="N67" s="5"/>
    </row>
    <row r="68" spans="1:15" ht="40" x14ac:dyDescent="0.25">
      <c r="A68" s="36"/>
      <c r="B68" s="52" t="s">
        <v>252</v>
      </c>
      <c r="C68" s="35" t="s">
        <v>253</v>
      </c>
      <c r="D68" s="32" t="s">
        <v>46</v>
      </c>
      <c r="E68" s="31" t="e">
        <f>'MC REV'!#REF!</f>
        <v>#REF!</v>
      </c>
      <c r="F68" s="31">
        <f t="shared" si="0"/>
        <v>48.74</v>
      </c>
      <c r="G68" s="13" t="e">
        <f t="shared" si="1"/>
        <v>#REF!</v>
      </c>
      <c r="M68" s="14">
        <v>39.31</v>
      </c>
      <c r="N68" s="5"/>
    </row>
    <row r="69" spans="1:15" ht="30" x14ac:dyDescent="0.25">
      <c r="A69" s="17"/>
      <c r="B69" s="52" t="s">
        <v>254</v>
      </c>
      <c r="C69" s="35" t="s">
        <v>255</v>
      </c>
      <c r="D69" s="32" t="s">
        <v>40</v>
      </c>
      <c r="E69" s="31" t="e">
        <f>'MC REV'!#REF!</f>
        <v>#REF!</v>
      </c>
      <c r="F69" s="31">
        <f t="shared" si="0"/>
        <v>296.17</v>
      </c>
      <c r="G69" s="13" t="e">
        <f t="shared" si="1"/>
        <v>#REF!</v>
      </c>
      <c r="M69" s="14">
        <v>238.85</v>
      </c>
      <c r="N69" s="5"/>
    </row>
    <row r="70" spans="1:15" ht="24.75" customHeight="1" x14ac:dyDescent="0.25">
      <c r="A70" s="36"/>
      <c r="B70" s="52" t="s">
        <v>256</v>
      </c>
      <c r="C70" s="35" t="s">
        <v>257</v>
      </c>
      <c r="D70" s="32" t="s">
        <v>40</v>
      </c>
      <c r="E70" s="31" t="e">
        <f>'MC REV'!#REF!</f>
        <v>#REF!</v>
      </c>
      <c r="F70" s="31">
        <f t="shared" si="0"/>
        <v>263.81</v>
      </c>
      <c r="G70" s="13" t="e">
        <f t="shared" si="1"/>
        <v>#REF!</v>
      </c>
      <c r="M70" s="14">
        <v>212.75</v>
      </c>
      <c r="N70" s="5"/>
    </row>
    <row r="71" spans="1:15" ht="40" x14ac:dyDescent="0.25">
      <c r="A71" s="36"/>
      <c r="B71" s="52" t="s">
        <v>241</v>
      </c>
      <c r="C71" s="35" t="s">
        <v>258</v>
      </c>
      <c r="D71" s="32" t="s">
        <v>40</v>
      </c>
      <c r="E71" s="31" t="e">
        <f>'MC REV'!#REF!</f>
        <v>#REF!</v>
      </c>
      <c r="F71" s="31">
        <f t="shared" si="0"/>
        <v>97.3</v>
      </c>
      <c r="G71" s="13" t="e">
        <f t="shared" si="1"/>
        <v>#REF!</v>
      </c>
      <c r="M71" s="14">
        <f>ROUND(N71/1.68*0.3,2)</f>
        <v>78.47</v>
      </c>
      <c r="N71" s="5">
        <v>439.44</v>
      </c>
      <c r="O71" s="33" t="s">
        <v>240</v>
      </c>
    </row>
    <row r="72" spans="1:15" ht="40" x14ac:dyDescent="0.25">
      <c r="A72" s="36"/>
      <c r="B72" s="52" t="s">
        <v>259</v>
      </c>
      <c r="C72" s="35" t="s">
        <v>260</v>
      </c>
      <c r="D72" s="32" t="s">
        <v>40</v>
      </c>
      <c r="E72" s="31" t="e">
        <f>'MC REV'!#REF!</f>
        <v>#REF!</v>
      </c>
      <c r="F72" s="31">
        <f t="shared" si="0"/>
        <v>269.02</v>
      </c>
      <c r="G72" s="13" t="e">
        <f t="shared" si="1"/>
        <v>#REF!</v>
      </c>
      <c r="M72" s="14">
        <v>216.95</v>
      </c>
      <c r="N72" s="5"/>
    </row>
    <row r="73" spans="1:15" ht="40" x14ac:dyDescent="0.25">
      <c r="A73" s="36"/>
      <c r="B73" s="52" t="s">
        <v>261</v>
      </c>
      <c r="C73" s="35" t="s">
        <v>262</v>
      </c>
      <c r="D73" s="32" t="s">
        <v>40</v>
      </c>
      <c r="E73" s="31" t="e">
        <f>'MC REV'!#REF!</f>
        <v>#REF!</v>
      </c>
      <c r="F73" s="31">
        <f t="shared" si="0"/>
        <v>217.99</v>
      </c>
      <c r="G73" s="13" t="e">
        <f t="shared" si="1"/>
        <v>#REF!</v>
      </c>
      <c r="M73" s="14">
        <v>175.8</v>
      </c>
      <c r="N73" s="5"/>
    </row>
    <row r="74" spans="1:15" ht="40" x14ac:dyDescent="0.25">
      <c r="A74" s="36"/>
      <c r="B74" s="52" t="s">
        <v>263</v>
      </c>
      <c r="C74" s="35" t="s">
        <v>264</v>
      </c>
      <c r="D74" s="32" t="s">
        <v>40</v>
      </c>
      <c r="E74" s="31" t="e">
        <f>'MC REV'!#REF!</f>
        <v>#REF!</v>
      </c>
      <c r="F74" s="31">
        <f t="shared" ref="F74:F137" si="2">ROUND(M74*1.24,2)</f>
        <v>301.62</v>
      </c>
      <c r="G74" s="13" t="e">
        <f t="shared" si="1"/>
        <v>#REF!</v>
      </c>
      <c r="M74" s="14">
        <v>243.24</v>
      </c>
      <c r="N74" s="5"/>
    </row>
    <row r="75" spans="1:15" ht="40" x14ac:dyDescent="0.25">
      <c r="A75" s="17"/>
      <c r="B75" s="52" t="s">
        <v>265</v>
      </c>
      <c r="C75" s="35" t="s">
        <v>266</v>
      </c>
      <c r="D75" s="32" t="s">
        <v>40</v>
      </c>
      <c r="E75" s="31" t="e">
        <f>'MC REV'!#REF!</f>
        <v>#REF!</v>
      </c>
      <c r="F75" s="31">
        <f t="shared" si="2"/>
        <v>53.06</v>
      </c>
      <c r="G75" s="13" t="e">
        <f t="shared" si="1"/>
        <v>#REF!</v>
      </c>
      <c r="M75" s="14">
        <v>42.79</v>
      </c>
      <c r="N75" s="5"/>
    </row>
    <row r="76" spans="1:15" ht="40" x14ac:dyDescent="0.25">
      <c r="A76" s="17"/>
      <c r="B76" s="52" t="s">
        <v>267</v>
      </c>
      <c r="C76" s="35" t="s">
        <v>268</v>
      </c>
      <c r="D76" s="32" t="s">
        <v>40</v>
      </c>
      <c r="E76" s="31" t="e">
        <f>'MC REV'!#REF!</f>
        <v>#REF!</v>
      </c>
      <c r="F76" s="31">
        <f t="shared" si="2"/>
        <v>66.849999999999994</v>
      </c>
      <c r="G76" s="13" t="e">
        <f t="shared" si="1"/>
        <v>#REF!</v>
      </c>
      <c r="M76" s="14">
        <v>53.91</v>
      </c>
      <c r="N76" s="5"/>
    </row>
    <row r="77" spans="1:15" ht="13" x14ac:dyDescent="0.3">
      <c r="A77" s="10" t="s">
        <v>269</v>
      </c>
      <c r="B77" s="54"/>
      <c r="C77" s="11" t="s">
        <v>270</v>
      </c>
      <c r="D77" s="12"/>
      <c r="E77" s="13"/>
      <c r="F77" s="31">
        <f t="shared" si="2"/>
        <v>0</v>
      </c>
      <c r="G77" s="27" t="e">
        <f>SUM(G78:G83)</f>
        <v>#REF!</v>
      </c>
      <c r="M77" s="14"/>
      <c r="N77" s="5"/>
    </row>
    <row r="78" spans="1:15" ht="40" x14ac:dyDescent="0.25">
      <c r="A78" s="36"/>
      <c r="B78" s="52" t="s">
        <v>271</v>
      </c>
      <c r="C78" s="35" t="s">
        <v>272</v>
      </c>
      <c r="D78" s="32" t="s">
        <v>40</v>
      </c>
      <c r="E78" s="31" t="e">
        <f>'MC REV'!#REF!</f>
        <v>#REF!</v>
      </c>
      <c r="F78" s="31">
        <f t="shared" si="2"/>
        <v>4.32</v>
      </c>
      <c r="G78" s="13" t="e">
        <f t="shared" ref="G78:G143" si="3">ROUND(F78*E78,2)</f>
        <v>#REF!</v>
      </c>
      <c r="M78" s="14">
        <v>3.48</v>
      </c>
      <c r="N78" s="5"/>
    </row>
    <row r="79" spans="1:15" ht="50" x14ac:dyDescent="0.25">
      <c r="A79" s="36"/>
      <c r="B79" s="52" t="s">
        <v>273</v>
      </c>
      <c r="C79" s="35" t="s">
        <v>274</v>
      </c>
      <c r="D79" s="32" t="s">
        <v>40</v>
      </c>
      <c r="E79" s="31" t="e">
        <f>'MC REV'!#REF!</f>
        <v>#REF!</v>
      </c>
      <c r="F79" s="31">
        <f t="shared" si="2"/>
        <v>19.440000000000001</v>
      </c>
      <c r="G79" s="13" t="e">
        <f t="shared" si="3"/>
        <v>#REF!</v>
      </c>
      <c r="M79" s="14">
        <v>15.68</v>
      </c>
      <c r="N79" s="5"/>
    </row>
    <row r="80" spans="1:15" ht="37.5" x14ac:dyDescent="0.25">
      <c r="A80" s="36"/>
      <c r="B80" s="52" t="s">
        <v>275</v>
      </c>
      <c r="C80" s="35" t="s">
        <v>276</v>
      </c>
      <c r="D80" s="32" t="s">
        <v>40</v>
      </c>
      <c r="E80" s="31" t="e">
        <f>'MC REV'!#REF!</f>
        <v>#REF!</v>
      </c>
      <c r="F80" s="31">
        <f t="shared" si="2"/>
        <v>18.809999999999999</v>
      </c>
      <c r="G80" s="13" t="e">
        <f t="shared" si="3"/>
        <v>#REF!</v>
      </c>
      <c r="M80" s="14">
        <v>15.17</v>
      </c>
      <c r="N80" s="5"/>
    </row>
    <row r="81" spans="1:14" ht="40" x14ac:dyDescent="0.25">
      <c r="A81" s="36"/>
      <c r="B81" s="52" t="s">
        <v>277</v>
      </c>
      <c r="C81" s="35" t="s">
        <v>278</v>
      </c>
      <c r="D81" s="32" t="s">
        <v>40</v>
      </c>
      <c r="E81" s="31" t="e">
        <f>'MC REV'!#REF!</f>
        <v>#REF!</v>
      </c>
      <c r="F81" s="31">
        <f t="shared" si="2"/>
        <v>24.53</v>
      </c>
      <c r="G81" s="13" t="e">
        <f t="shared" si="3"/>
        <v>#REF!</v>
      </c>
      <c r="M81" s="14">
        <v>19.78</v>
      </c>
      <c r="N81" s="48" t="s">
        <v>279</v>
      </c>
    </row>
    <row r="82" spans="1:14" ht="40" x14ac:dyDescent="0.25">
      <c r="A82" s="36"/>
      <c r="B82" s="52" t="s">
        <v>280</v>
      </c>
      <c r="C82" s="35" t="s">
        <v>281</v>
      </c>
      <c r="D82" s="32" t="s">
        <v>40</v>
      </c>
      <c r="E82" s="31" t="e">
        <f>'MC REV'!#REF!</f>
        <v>#REF!</v>
      </c>
      <c r="F82" s="31">
        <f t="shared" si="2"/>
        <v>30.37</v>
      </c>
      <c r="G82" s="13" t="e">
        <f t="shared" si="3"/>
        <v>#REF!</v>
      </c>
      <c r="M82" s="14">
        <v>24.49</v>
      </c>
      <c r="N82" s="5"/>
    </row>
    <row r="83" spans="1:14" ht="89.25" customHeight="1" x14ac:dyDescent="0.25">
      <c r="A83" s="17"/>
      <c r="B83" s="52" t="s">
        <v>282</v>
      </c>
      <c r="C83" s="38" t="s">
        <v>283</v>
      </c>
      <c r="D83" s="32" t="s">
        <v>40</v>
      </c>
      <c r="E83" s="31" t="e">
        <f>'MC REV'!#REF!</f>
        <v>#REF!</v>
      </c>
      <c r="F83" s="31">
        <f t="shared" si="2"/>
        <v>47.84</v>
      </c>
      <c r="G83" s="13" t="e">
        <f t="shared" si="3"/>
        <v>#REF!</v>
      </c>
      <c r="M83" s="43">
        <v>38.58</v>
      </c>
      <c r="N83" s="5"/>
    </row>
    <row r="84" spans="1:14" ht="13" x14ac:dyDescent="0.3">
      <c r="A84" s="10" t="s">
        <v>284</v>
      </c>
      <c r="B84" s="54"/>
      <c r="C84" s="11" t="s">
        <v>285</v>
      </c>
      <c r="D84" s="12"/>
      <c r="E84" s="13"/>
      <c r="F84" s="31">
        <f t="shared" si="2"/>
        <v>0</v>
      </c>
      <c r="G84" s="27" t="e">
        <f>SUM(G85:G89)</f>
        <v>#REF!</v>
      </c>
      <c r="M84" s="14"/>
      <c r="N84" s="5"/>
    </row>
    <row r="85" spans="1:14" ht="40" x14ac:dyDescent="0.25">
      <c r="A85" s="36"/>
      <c r="B85" s="52" t="s">
        <v>184</v>
      </c>
      <c r="C85" s="35" t="s">
        <v>286</v>
      </c>
      <c r="D85" s="32" t="s">
        <v>40</v>
      </c>
      <c r="E85" s="31" t="e">
        <f>'MC REV'!#REF!</f>
        <v>#REF!</v>
      </c>
      <c r="F85" s="31">
        <f t="shared" si="2"/>
        <v>24.73</v>
      </c>
      <c r="G85" s="13" t="e">
        <f t="shared" si="3"/>
        <v>#REF!</v>
      </c>
      <c r="M85" s="14">
        <f>ROUND(N85*0.05,2)</f>
        <v>19.940000000000001</v>
      </c>
      <c r="N85" s="5">
        <v>398.74</v>
      </c>
    </row>
    <row r="86" spans="1:14" ht="50" x14ac:dyDescent="0.25">
      <c r="A86" s="36"/>
      <c r="B86" s="52" t="s">
        <v>287</v>
      </c>
      <c r="C86" s="35" t="s">
        <v>288</v>
      </c>
      <c r="D86" s="32" t="s">
        <v>40</v>
      </c>
      <c r="E86" s="31" t="e">
        <f>'MC REV'!#REF!</f>
        <v>#REF!</v>
      </c>
      <c r="F86" s="31">
        <f t="shared" si="2"/>
        <v>17.41</v>
      </c>
      <c r="G86" s="13" t="e">
        <f t="shared" si="3"/>
        <v>#REF!</v>
      </c>
      <c r="M86" s="14">
        <v>14.04</v>
      </c>
      <c r="N86" s="5"/>
    </row>
    <row r="87" spans="1:14" ht="40" x14ac:dyDescent="0.25">
      <c r="A87" s="36"/>
      <c r="B87" s="52" t="s">
        <v>289</v>
      </c>
      <c r="C87" s="35" t="s">
        <v>290</v>
      </c>
      <c r="D87" s="32" t="s">
        <v>40</v>
      </c>
      <c r="E87" s="31" t="e">
        <f>'MC REV'!#REF!</f>
        <v>#REF!</v>
      </c>
      <c r="F87" s="31">
        <f t="shared" si="2"/>
        <v>22.82</v>
      </c>
      <c r="G87" s="13" t="e">
        <f t="shared" si="3"/>
        <v>#REF!</v>
      </c>
      <c r="M87" s="43">
        <v>18.399999999999999</v>
      </c>
      <c r="N87" s="41"/>
    </row>
    <row r="88" spans="1:14" ht="50" x14ac:dyDescent="0.25">
      <c r="A88" s="36"/>
      <c r="B88" s="52" t="s">
        <v>291</v>
      </c>
      <c r="C88" s="35" t="s">
        <v>292</v>
      </c>
      <c r="D88" s="32" t="s">
        <v>111</v>
      </c>
      <c r="E88" s="31" t="e">
        <f>'MC REV'!#REF!</f>
        <v>#REF!</v>
      </c>
      <c r="F88" s="31">
        <f t="shared" si="2"/>
        <v>10.210000000000001</v>
      </c>
      <c r="G88" s="13" t="e">
        <f t="shared" si="3"/>
        <v>#REF!</v>
      </c>
      <c r="M88" s="43">
        <v>8.23</v>
      </c>
      <c r="N88" s="5"/>
    </row>
    <row r="89" spans="1:14" ht="40" x14ac:dyDescent="0.25">
      <c r="A89" s="17"/>
      <c r="B89" s="52" t="s">
        <v>293</v>
      </c>
      <c r="C89" s="35" t="s">
        <v>294</v>
      </c>
      <c r="D89" s="32" t="s">
        <v>40</v>
      </c>
      <c r="E89" s="31" t="e">
        <f>'MC REV'!#REF!</f>
        <v>#REF!</v>
      </c>
      <c r="F89" s="31">
        <f t="shared" si="2"/>
        <v>54.36</v>
      </c>
      <c r="G89" s="13" t="e">
        <f t="shared" si="3"/>
        <v>#REF!</v>
      </c>
      <c r="M89" s="43">
        <v>43.84</v>
      </c>
      <c r="N89" s="5"/>
    </row>
    <row r="90" spans="1:14" ht="13" x14ac:dyDescent="0.3">
      <c r="A90" s="10" t="s">
        <v>295</v>
      </c>
      <c r="B90" s="54"/>
      <c r="C90" s="11" t="s">
        <v>296</v>
      </c>
      <c r="D90" s="12"/>
      <c r="E90" s="13"/>
      <c r="F90" s="31">
        <f t="shared" si="2"/>
        <v>0</v>
      </c>
      <c r="G90" s="27" t="e">
        <f>SUM(G91:G100)</f>
        <v>#REF!</v>
      </c>
      <c r="M90" s="14"/>
      <c r="N90" s="5"/>
    </row>
    <row r="91" spans="1:14" ht="30" x14ac:dyDescent="0.25">
      <c r="A91" s="17"/>
      <c r="B91" s="52" t="s">
        <v>297</v>
      </c>
      <c r="C91" s="35" t="s">
        <v>298</v>
      </c>
      <c r="D91" s="32" t="s">
        <v>40</v>
      </c>
      <c r="E91" s="31" t="e">
        <f>'MC REV'!#REF!</f>
        <v>#REF!</v>
      </c>
      <c r="F91" s="31">
        <f t="shared" si="2"/>
        <v>9.25</v>
      </c>
      <c r="G91" s="13" t="e">
        <f t="shared" si="3"/>
        <v>#REF!</v>
      </c>
      <c r="M91" s="43">
        <v>7.46</v>
      </c>
      <c r="N91" s="5"/>
    </row>
    <row r="92" spans="1:14" ht="40" x14ac:dyDescent="0.25">
      <c r="A92" s="36"/>
      <c r="B92" s="52" t="s">
        <v>299</v>
      </c>
      <c r="C92" s="35" t="s">
        <v>300</v>
      </c>
      <c r="D92" s="32" t="s">
        <v>40</v>
      </c>
      <c r="E92" s="31" t="e">
        <f>'MC REV'!#REF!</f>
        <v>#REF!</v>
      </c>
      <c r="F92" s="31">
        <f t="shared" si="2"/>
        <v>4.4800000000000004</v>
      </c>
      <c r="G92" s="13" t="e">
        <f t="shared" si="3"/>
        <v>#REF!</v>
      </c>
      <c r="M92" s="14">
        <v>3.61</v>
      </c>
      <c r="N92" s="5"/>
    </row>
    <row r="93" spans="1:14" ht="40" x14ac:dyDescent="0.25">
      <c r="A93" s="36"/>
      <c r="B93" s="52" t="s">
        <v>301</v>
      </c>
      <c r="C93" s="15" t="s">
        <v>302</v>
      </c>
      <c r="D93" s="32" t="s">
        <v>40</v>
      </c>
      <c r="E93" s="31" t="e">
        <f>'MC REV'!#REF!</f>
        <v>#REF!</v>
      </c>
      <c r="F93" s="31">
        <f t="shared" si="2"/>
        <v>6.81</v>
      </c>
      <c r="G93" s="13" t="e">
        <f t="shared" si="3"/>
        <v>#REF!</v>
      </c>
      <c r="M93" s="14">
        <v>5.49</v>
      </c>
      <c r="N93" s="5"/>
    </row>
    <row r="94" spans="1:14" ht="40" x14ac:dyDescent="0.25">
      <c r="A94" s="36"/>
      <c r="B94" s="52" t="s">
        <v>303</v>
      </c>
      <c r="C94" s="35" t="s">
        <v>304</v>
      </c>
      <c r="D94" s="32" t="s">
        <v>40</v>
      </c>
      <c r="E94" s="31" t="e">
        <f>'MC REV'!#REF!</f>
        <v>#REF!</v>
      </c>
      <c r="F94" s="31">
        <f t="shared" si="2"/>
        <v>7.73</v>
      </c>
      <c r="G94" s="13" t="e">
        <f t="shared" si="3"/>
        <v>#REF!</v>
      </c>
      <c r="M94" s="14">
        <v>6.23</v>
      </c>
      <c r="N94" s="5"/>
    </row>
    <row r="95" spans="1:14" ht="40" x14ac:dyDescent="0.25">
      <c r="A95" s="36"/>
      <c r="B95" s="52" t="s">
        <v>305</v>
      </c>
      <c r="C95" s="35" t="s">
        <v>306</v>
      </c>
      <c r="D95" s="32" t="s">
        <v>40</v>
      </c>
      <c r="E95" s="31" t="e">
        <f>'MC REV'!#REF!</f>
        <v>#REF!</v>
      </c>
      <c r="F95" s="31">
        <f t="shared" si="2"/>
        <v>8.59</v>
      </c>
      <c r="G95" s="13" t="e">
        <f t="shared" si="3"/>
        <v>#REF!</v>
      </c>
      <c r="M95" s="14">
        <v>6.93</v>
      </c>
      <c r="N95" s="5"/>
    </row>
    <row r="96" spans="1:14" ht="40" x14ac:dyDescent="0.25">
      <c r="A96" s="36"/>
      <c r="B96" s="52" t="s">
        <v>307</v>
      </c>
      <c r="C96" s="35" t="s">
        <v>308</v>
      </c>
      <c r="D96" s="32" t="s">
        <v>40</v>
      </c>
      <c r="E96" s="31" t="e">
        <f>'MC REV'!#REF!</f>
        <v>#REF!</v>
      </c>
      <c r="F96" s="31">
        <f t="shared" si="2"/>
        <v>8.41</v>
      </c>
      <c r="G96" s="13" t="e">
        <f t="shared" si="3"/>
        <v>#REF!</v>
      </c>
      <c r="M96" s="14">
        <v>6.78</v>
      </c>
      <c r="N96" s="5"/>
    </row>
    <row r="97" spans="1:14" ht="40" x14ac:dyDescent="0.25">
      <c r="A97" s="36"/>
      <c r="B97" s="52" t="s">
        <v>309</v>
      </c>
      <c r="C97" s="35" t="s">
        <v>310</v>
      </c>
      <c r="D97" s="32" t="s">
        <v>40</v>
      </c>
      <c r="E97" s="31" t="e">
        <f>'MC REV'!#REF!</f>
        <v>#REF!</v>
      </c>
      <c r="F97" s="31">
        <f t="shared" si="2"/>
        <v>13.79</v>
      </c>
      <c r="G97" s="13" t="e">
        <f t="shared" si="3"/>
        <v>#REF!</v>
      </c>
      <c r="M97" s="14">
        <v>11.12</v>
      </c>
      <c r="N97" s="5"/>
    </row>
    <row r="98" spans="1:14" ht="40" x14ac:dyDescent="0.25">
      <c r="A98" s="36"/>
      <c r="B98" s="52" t="s">
        <v>311</v>
      </c>
      <c r="C98" s="35" t="s">
        <v>312</v>
      </c>
      <c r="D98" s="32" t="s">
        <v>40</v>
      </c>
      <c r="E98" s="31" t="e">
        <f>'MC REV'!#REF!</f>
        <v>#REF!</v>
      </c>
      <c r="F98" s="31">
        <f t="shared" si="2"/>
        <v>11.09</v>
      </c>
      <c r="G98" s="13" t="e">
        <f t="shared" si="3"/>
        <v>#REF!</v>
      </c>
      <c r="M98" s="14">
        <v>8.94</v>
      </c>
      <c r="N98" s="5"/>
    </row>
    <row r="99" spans="1:14" ht="24.75" customHeight="1" x14ac:dyDescent="0.25">
      <c r="A99" s="36"/>
      <c r="B99" s="52" t="s">
        <v>313</v>
      </c>
      <c r="C99" s="35" t="s">
        <v>314</v>
      </c>
      <c r="D99" s="32" t="s">
        <v>40</v>
      </c>
      <c r="E99" s="31" t="e">
        <f>'MC REV'!#REF!</f>
        <v>#REF!</v>
      </c>
      <c r="F99" s="31">
        <f t="shared" si="2"/>
        <v>15.55</v>
      </c>
      <c r="G99" s="13" t="e">
        <f t="shared" si="3"/>
        <v>#REF!</v>
      </c>
      <c r="M99" s="14">
        <v>12.54</v>
      </c>
      <c r="N99" s="5"/>
    </row>
    <row r="100" spans="1:14" ht="40" x14ac:dyDescent="0.25">
      <c r="A100" s="17"/>
      <c r="B100" s="52" t="s">
        <v>315</v>
      </c>
      <c r="C100" s="35" t="s">
        <v>316</v>
      </c>
      <c r="D100" s="32" t="s">
        <v>40</v>
      </c>
      <c r="E100" s="31" t="e">
        <f>'MC REV'!#REF!</f>
        <v>#REF!</v>
      </c>
      <c r="F100" s="31">
        <f t="shared" si="2"/>
        <v>13.93</v>
      </c>
      <c r="G100" s="13" t="e">
        <f t="shared" si="3"/>
        <v>#REF!</v>
      </c>
      <c r="M100" s="14">
        <v>11.23</v>
      </c>
      <c r="N100" s="5"/>
    </row>
    <row r="101" spans="1:14" ht="13" x14ac:dyDescent="0.3">
      <c r="A101" s="10" t="s">
        <v>317</v>
      </c>
      <c r="B101" s="54"/>
      <c r="C101" s="11" t="s">
        <v>318</v>
      </c>
      <c r="D101" s="12"/>
      <c r="E101" s="13"/>
      <c r="F101" s="31">
        <f t="shared" si="2"/>
        <v>0</v>
      </c>
      <c r="G101" s="27" t="e">
        <f>SUM(G102:L138)</f>
        <v>#REF!</v>
      </c>
      <c r="M101" s="14"/>
      <c r="N101" s="5"/>
    </row>
    <row r="102" spans="1:14" ht="51.75" customHeight="1" x14ac:dyDescent="0.25">
      <c r="A102" s="36"/>
      <c r="B102" s="52" t="s">
        <v>319</v>
      </c>
      <c r="C102" s="42" t="s">
        <v>320</v>
      </c>
      <c r="D102" s="32" t="s">
        <v>321</v>
      </c>
      <c r="E102" s="31" t="e">
        <f>'MC REV'!#REF!</f>
        <v>#REF!</v>
      </c>
      <c r="F102" s="31">
        <f t="shared" si="2"/>
        <v>79.14</v>
      </c>
      <c r="G102" s="13" t="e">
        <f t="shared" si="3"/>
        <v>#REF!</v>
      </c>
      <c r="M102" s="43">
        <v>63.82</v>
      </c>
      <c r="N102" s="5"/>
    </row>
    <row r="103" spans="1:14" ht="62.5" x14ac:dyDescent="0.25">
      <c r="A103" s="36"/>
      <c r="B103" s="52" t="s">
        <v>322</v>
      </c>
      <c r="C103" s="35" t="s">
        <v>323</v>
      </c>
      <c r="D103" s="32" t="s">
        <v>321</v>
      </c>
      <c r="E103" s="31" t="e">
        <f>'MC REV'!#REF!</f>
        <v>#REF!</v>
      </c>
      <c r="F103" s="31">
        <f t="shared" si="2"/>
        <v>201.09</v>
      </c>
      <c r="G103" s="13" t="e">
        <f t="shared" si="3"/>
        <v>#REF!</v>
      </c>
      <c r="M103" s="43">
        <v>162.16999999999999</v>
      </c>
      <c r="N103" s="5"/>
    </row>
    <row r="104" spans="1:14" ht="64.5" customHeight="1" x14ac:dyDescent="0.25">
      <c r="A104" s="36"/>
      <c r="B104" s="52" t="s">
        <v>324</v>
      </c>
      <c r="C104" s="38" t="s">
        <v>325</v>
      </c>
      <c r="D104" s="32" t="s">
        <v>321</v>
      </c>
      <c r="E104" s="31" t="e">
        <f>'MC REV'!#REF!</f>
        <v>#REF!</v>
      </c>
      <c r="F104" s="31">
        <f t="shared" si="2"/>
        <v>67.290000000000006</v>
      </c>
      <c r="G104" s="13" t="e">
        <f t="shared" si="3"/>
        <v>#REF!</v>
      </c>
      <c r="M104" s="43">
        <v>54.27</v>
      </c>
      <c r="N104" s="5"/>
    </row>
    <row r="105" spans="1:14" ht="62.5" x14ac:dyDescent="0.25">
      <c r="A105" s="36"/>
      <c r="B105" s="52" t="s">
        <v>326</v>
      </c>
      <c r="C105" s="35" t="s">
        <v>327</v>
      </c>
      <c r="D105" s="32" t="s">
        <v>321</v>
      </c>
      <c r="E105" s="31" t="e">
        <f>'MC REV'!#REF!</f>
        <v>#REF!</v>
      </c>
      <c r="F105" s="31">
        <f t="shared" si="2"/>
        <v>101.98</v>
      </c>
      <c r="G105" s="13" t="e">
        <f t="shared" si="3"/>
        <v>#REF!</v>
      </c>
      <c r="M105" s="43">
        <v>82.24</v>
      </c>
      <c r="N105" s="5"/>
    </row>
    <row r="106" spans="1:14" ht="62.5" x14ac:dyDescent="0.25">
      <c r="A106" s="36"/>
      <c r="B106" s="52" t="s">
        <v>328</v>
      </c>
      <c r="C106" s="38" t="s">
        <v>329</v>
      </c>
      <c r="D106" s="32" t="s">
        <v>321</v>
      </c>
      <c r="E106" s="31" t="e">
        <f>'MC REV'!#REF!</f>
        <v>#REF!</v>
      </c>
      <c r="F106" s="31">
        <f t="shared" si="2"/>
        <v>127.67</v>
      </c>
      <c r="G106" s="13" t="e">
        <f t="shared" si="3"/>
        <v>#REF!</v>
      </c>
      <c r="M106" s="43">
        <v>102.96</v>
      </c>
      <c r="N106" s="5"/>
    </row>
    <row r="107" spans="1:14" ht="75" x14ac:dyDescent="0.25">
      <c r="A107" s="36"/>
      <c r="B107" s="52" t="s">
        <v>330</v>
      </c>
      <c r="C107" s="35" t="s">
        <v>331</v>
      </c>
      <c r="D107" s="32" t="s">
        <v>321</v>
      </c>
      <c r="E107" s="31" t="e">
        <f>'MC REV'!#REF!</f>
        <v>#REF!</v>
      </c>
      <c r="F107" s="31">
        <f t="shared" si="2"/>
        <v>122.83</v>
      </c>
      <c r="G107" s="13" t="e">
        <f t="shared" si="3"/>
        <v>#REF!</v>
      </c>
      <c r="M107" s="43">
        <v>99.06</v>
      </c>
      <c r="N107" s="5"/>
    </row>
    <row r="108" spans="1:14" ht="75" x14ac:dyDescent="0.25">
      <c r="A108" s="36"/>
      <c r="B108" s="52" t="s">
        <v>332</v>
      </c>
      <c r="C108" s="35" t="s">
        <v>333</v>
      </c>
      <c r="D108" s="32" t="s">
        <v>321</v>
      </c>
      <c r="E108" s="31" t="e">
        <f>'MC REV'!#REF!</f>
        <v>#REF!</v>
      </c>
      <c r="F108" s="31">
        <f t="shared" si="2"/>
        <v>127.78</v>
      </c>
      <c r="G108" s="13" t="e">
        <f t="shared" si="3"/>
        <v>#REF!</v>
      </c>
      <c r="M108" s="43">
        <v>103.05</v>
      </c>
      <c r="N108" s="5"/>
    </row>
    <row r="109" spans="1:14" ht="75" x14ac:dyDescent="0.25">
      <c r="A109" s="36"/>
      <c r="B109" s="52" t="s">
        <v>334</v>
      </c>
      <c r="C109" s="35" t="s">
        <v>335</v>
      </c>
      <c r="D109" s="32" t="s">
        <v>321</v>
      </c>
      <c r="E109" s="31" t="e">
        <f>'MC REV'!#REF!</f>
        <v>#REF!</v>
      </c>
      <c r="F109" s="31">
        <f t="shared" si="2"/>
        <v>205.43</v>
      </c>
      <c r="G109" s="13" t="e">
        <f t="shared" si="3"/>
        <v>#REF!</v>
      </c>
      <c r="M109" s="43">
        <v>165.67</v>
      </c>
      <c r="N109" s="5"/>
    </row>
    <row r="110" spans="1:14" ht="100" x14ac:dyDescent="0.25">
      <c r="A110" s="36"/>
      <c r="B110" s="52" t="s">
        <v>336</v>
      </c>
      <c r="C110" s="35" t="s">
        <v>337</v>
      </c>
      <c r="D110" s="32" t="s">
        <v>321</v>
      </c>
      <c r="E110" s="31" t="e">
        <f>'MC REV'!#REF!</f>
        <v>#REF!</v>
      </c>
      <c r="F110" s="31">
        <f t="shared" si="2"/>
        <v>236.98</v>
      </c>
      <c r="G110" s="13" t="e">
        <f t="shared" si="3"/>
        <v>#REF!</v>
      </c>
      <c r="M110" s="43">
        <v>191.11</v>
      </c>
      <c r="N110" s="5"/>
    </row>
    <row r="111" spans="1:14" ht="64.5" customHeight="1" x14ac:dyDescent="0.25">
      <c r="A111" s="17"/>
      <c r="B111" s="52" t="s">
        <v>338</v>
      </c>
      <c r="C111" s="35" t="s">
        <v>339</v>
      </c>
      <c r="D111" s="32" t="s">
        <v>321</v>
      </c>
      <c r="E111" s="31" t="e">
        <f>'MC REV'!#REF!</f>
        <v>#REF!</v>
      </c>
      <c r="F111" s="31">
        <f t="shared" si="2"/>
        <v>114.75</v>
      </c>
      <c r="G111" s="13" t="e">
        <f t="shared" si="3"/>
        <v>#REF!</v>
      </c>
      <c r="M111" s="14">
        <v>92.54</v>
      </c>
      <c r="N111" s="5"/>
    </row>
    <row r="112" spans="1:14" x14ac:dyDescent="0.25">
      <c r="A112" s="17"/>
      <c r="B112" s="52"/>
      <c r="C112" s="15"/>
      <c r="D112" s="32"/>
      <c r="E112" s="31" t="e">
        <f>'MC REV'!#REF!</f>
        <v>#REF!</v>
      </c>
      <c r="F112" s="31">
        <f t="shared" si="2"/>
        <v>0</v>
      </c>
      <c r="G112" s="13" t="e">
        <f t="shared" si="3"/>
        <v>#REF!</v>
      </c>
      <c r="M112" s="14"/>
      <c r="N112" s="5"/>
    </row>
    <row r="113" spans="1:15" ht="40" x14ac:dyDescent="0.25">
      <c r="A113" s="17"/>
      <c r="B113" s="52" t="s">
        <v>340</v>
      </c>
      <c r="C113" s="35" t="s">
        <v>341</v>
      </c>
      <c r="D113" s="32" t="s">
        <v>46</v>
      </c>
      <c r="E113" s="31" t="e">
        <f>'MC REV'!#REF!</f>
        <v>#REF!</v>
      </c>
      <c r="F113" s="31">
        <f t="shared" si="2"/>
        <v>68.31</v>
      </c>
      <c r="G113" s="13" t="e">
        <f t="shared" si="3"/>
        <v>#REF!</v>
      </c>
      <c r="M113" s="14">
        <v>55.09</v>
      </c>
      <c r="N113" s="5"/>
    </row>
    <row r="114" spans="1:15" ht="90" customHeight="1" x14ac:dyDescent="0.25">
      <c r="A114" s="36"/>
      <c r="B114" s="52" t="s">
        <v>342</v>
      </c>
      <c r="C114" s="35" t="s">
        <v>343</v>
      </c>
      <c r="D114" s="32" t="s">
        <v>46</v>
      </c>
      <c r="E114" s="31" t="e">
        <f>'MC REV'!#REF!</f>
        <v>#REF!</v>
      </c>
      <c r="F114" s="31">
        <f t="shared" si="2"/>
        <v>42.8</v>
      </c>
      <c r="G114" s="13" t="e">
        <f t="shared" si="3"/>
        <v>#REF!</v>
      </c>
      <c r="M114" s="14">
        <v>34.520000000000003</v>
      </c>
      <c r="N114" s="5"/>
    </row>
    <row r="115" spans="1:15" ht="75" x14ac:dyDescent="0.25">
      <c r="A115" s="36"/>
      <c r="B115" s="52" t="s">
        <v>344</v>
      </c>
      <c r="C115" s="35" t="s">
        <v>345</v>
      </c>
      <c r="D115" s="32" t="s">
        <v>46</v>
      </c>
      <c r="E115" s="31" t="e">
        <f>'MC REV'!#REF!</f>
        <v>#REF!</v>
      </c>
      <c r="F115" s="31">
        <f t="shared" si="2"/>
        <v>430.22</v>
      </c>
      <c r="G115" s="13" t="e">
        <f t="shared" si="3"/>
        <v>#REF!</v>
      </c>
      <c r="M115" s="14">
        <v>346.95</v>
      </c>
      <c r="N115" s="5"/>
    </row>
    <row r="116" spans="1:15" ht="75" x14ac:dyDescent="0.25">
      <c r="A116" s="36"/>
      <c r="B116" s="52" t="s">
        <v>346</v>
      </c>
      <c r="C116" s="35" t="s">
        <v>347</v>
      </c>
      <c r="D116" s="32" t="s">
        <v>46</v>
      </c>
      <c r="E116" s="31" t="e">
        <f>'MC REV'!#REF!</f>
        <v>#REF!</v>
      </c>
      <c r="F116" s="31">
        <f t="shared" si="2"/>
        <v>470.46</v>
      </c>
      <c r="G116" s="13" t="e">
        <f t="shared" si="3"/>
        <v>#REF!</v>
      </c>
      <c r="M116" s="14">
        <v>379.4</v>
      </c>
      <c r="N116" s="5"/>
    </row>
    <row r="117" spans="1:15" ht="50" x14ac:dyDescent="0.25">
      <c r="A117" s="36"/>
      <c r="B117" s="52" t="s">
        <v>348</v>
      </c>
      <c r="C117" s="35" t="s">
        <v>349</v>
      </c>
      <c r="D117" s="32" t="s">
        <v>46</v>
      </c>
      <c r="E117" s="31" t="e">
        <f>'MC REV'!#REF!</f>
        <v>#REF!</v>
      </c>
      <c r="F117" s="31">
        <f t="shared" si="2"/>
        <v>11.88</v>
      </c>
      <c r="G117" s="13" t="e">
        <f t="shared" si="3"/>
        <v>#REF!</v>
      </c>
      <c r="M117" s="14">
        <v>9.58</v>
      </c>
      <c r="N117" s="5"/>
    </row>
    <row r="118" spans="1:15" ht="52.5" customHeight="1" x14ac:dyDescent="0.25">
      <c r="A118" s="36"/>
      <c r="B118" s="52" t="s">
        <v>350</v>
      </c>
      <c r="C118" s="35" t="s">
        <v>351</v>
      </c>
      <c r="D118" s="32" t="s">
        <v>352</v>
      </c>
      <c r="E118" s="31" t="e">
        <f>'MC REV'!#REF!</f>
        <v>#REF!</v>
      </c>
      <c r="F118" s="31">
        <f t="shared" si="2"/>
        <v>68.180000000000007</v>
      </c>
      <c r="G118" s="13" t="e">
        <f t="shared" si="3"/>
        <v>#REF!</v>
      </c>
      <c r="M118" s="14">
        <v>54.98</v>
      </c>
      <c r="N118" s="5"/>
    </row>
    <row r="119" spans="1:15" ht="52.5" customHeight="1" x14ac:dyDescent="0.25">
      <c r="A119" s="36"/>
      <c r="B119" s="52" t="s">
        <v>353</v>
      </c>
      <c r="C119" s="35" t="s">
        <v>354</v>
      </c>
      <c r="D119" s="32" t="s">
        <v>352</v>
      </c>
      <c r="E119" s="31" t="e">
        <f>'MC REV'!#REF!</f>
        <v>#REF!</v>
      </c>
      <c r="F119" s="31">
        <f t="shared" si="2"/>
        <v>78.89</v>
      </c>
      <c r="G119" s="13" t="e">
        <f t="shared" si="3"/>
        <v>#REF!</v>
      </c>
      <c r="M119" s="14">
        <v>63.62</v>
      </c>
      <c r="N119" s="5"/>
    </row>
    <row r="120" spans="1:15" ht="51" customHeight="1" x14ac:dyDescent="0.25">
      <c r="A120" s="36"/>
      <c r="B120" s="52" t="s">
        <v>355</v>
      </c>
      <c r="C120" s="35" t="s">
        <v>356</v>
      </c>
      <c r="D120" s="32" t="s">
        <v>352</v>
      </c>
      <c r="E120" s="31" t="e">
        <f>'MC REV'!#REF!</f>
        <v>#REF!</v>
      </c>
      <c r="F120" s="31">
        <f t="shared" si="2"/>
        <v>112.1</v>
      </c>
      <c r="G120" s="13" t="e">
        <f t="shared" si="3"/>
        <v>#REF!</v>
      </c>
      <c r="M120" s="14">
        <v>90.4</v>
      </c>
      <c r="N120" s="5"/>
    </row>
    <row r="121" spans="1:15" ht="40" x14ac:dyDescent="0.25">
      <c r="A121" s="36"/>
      <c r="B121" s="52" t="s">
        <v>357</v>
      </c>
      <c r="C121" s="35" t="s">
        <v>358</v>
      </c>
      <c r="D121" s="32" t="s">
        <v>352</v>
      </c>
      <c r="E121" s="31" t="e">
        <f>'MC REV'!#REF!</f>
        <v>#REF!</v>
      </c>
      <c r="F121" s="31">
        <f t="shared" si="2"/>
        <v>25.54</v>
      </c>
      <c r="G121" s="13" t="e">
        <f t="shared" si="3"/>
        <v>#REF!</v>
      </c>
      <c r="M121" s="14">
        <v>20.6</v>
      </c>
      <c r="N121" s="5"/>
    </row>
    <row r="122" spans="1:15" ht="30" x14ac:dyDescent="0.25">
      <c r="A122" s="17"/>
      <c r="B122" s="52" t="s">
        <v>359</v>
      </c>
      <c r="C122" s="35" t="s">
        <v>360</v>
      </c>
      <c r="D122" s="32" t="s">
        <v>46</v>
      </c>
      <c r="E122" s="31" t="e">
        <f>'MC REV'!#REF!</f>
        <v>#REF!</v>
      </c>
      <c r="F122" s="31">
        <f t="shared" si="2"/>
        <v>998.26</v>
      </c>
      <c r="G122" s="13" t="e">
        <f t="shared" si="3"/>
        <v>#REF!</v>
      </c>
      <c r="M122" s="14">
        <v>805.05</v>
      </c>
      <c r="N122" s="5"/>
    </row>
    <row r="123" spans="1:15" ht="25" x14ac:dyDescent="0.25">
      <c r="A123" s="36"/>
      <c r="B123" s="52" t="s">
        <v>361</v>
      </c>
      <c r="C123" s="35" t="s">
        <v>362</v>
      </c>
      <c r="D123" s="32" t="s">
        <v>46</v>
      </c>
      <c r="E123" s="31" t="e">
        <f>'MC REV'!#REF!</f>
        <v>#REF!</v>
      </c>
      <c r="F123" s="31">
        <f t="shared" si="2"/>
        <v>1336.58</v>
      </c>
      <c r="G123" s="13" t="e">
        <f t="shared" si="3"/>
        <v>#REF!</v>
      </c>
      <c r="M123" s="43">
        <v>1077.8899999999999</v>
      </c>
      <c r="N123" s="5"/>
    </row>
    <row r="124" spans="1:15" x14ac:dyDescent="0.25">
      <c r="A124" s="36"/>
      <c r="B124" s="52"/>
      <c r="C124" s="35"/>
      <c r="D124" s="32"/>
      <c r="E124" s="31" t="e">
        <f>'MC REV'!#REF!</f>
        <v>#REF!</v>
      </c>
      <c r="F124" s="31">
        <f t="shared" si="2"/>
        <v>0</v>
      </c>
      <c r="G124" s="13" t="e">
        <f t="shared" si="3"/>
        <v>#REF!</v>
      </c>
      <c r="M124" s="14"/>
      <c r="N124" s="5"/>
    </row>
    <row r="125" spans="1:15" ht="40" x14ac:dyDescent="0.25">
      <c r="A125" s="17"/>
      <c r="B125" s="55" t="s">
        <v>319</v>
      </c>
      <c r="C125" s="38" t="s">
        <v>363</v>
      </c>
      <c r="D125" s="32" t="s">
        <v>321</v>
      </c>
      <c r="E125" s="31" t="e">
        <f>'MC REV'!#REF!</f>
        <v>#REF!</v>
      </c>
      <c r="F125" s="31">
        <f t="shared" si="2"/>
        <v>23.75</v>
      </c>
      <c r="G125" s="13" t="e">
        <f t="shared" si="3"/>
        <v>#REF!</v>
      </c>
      <c r="M125" s="14">
        <f>ROUND(N125*0.3,2)</f>
        <v>19.149999999999999</v>
      </c>
      <c r="N125" s="5">
        <v>63.82</v>
      </c>
      <c r="O125" s="33"/>
    </row>
    <row r="126" spans="1:15" ht="40" x14ac:dyDescent="0.25">
      <c r="A126" s="17"/>
      <c r="B126" s="55" t="s">
        <v>324</v>
      </c>
      <c r="C126" s="38" t="s">
        <v>364</v>
      </c>
      <c r="D126" s="32" t="s">
        <v>321</v>
      </c>
      <c r="E126" s="31" t="e">
        <f>'MC REV'!#REF!</f>
        <v>#REF!</v>
      </c>
      <c r="F126" s="31">
        <f t="shared" si="2"/>
        <v>20.190000000000001</v>
      </c>
      <c r="G126" s="13" t="e">
        <f t="shared" si="3"/>
        <v>#REF!</v>
      </c>
      <c r="M126" s="14">
        <f>ROUND(N126*0.3,2)</f>
        <v>16.28</v>
      </c>
      <c r="N126" s="5">
        <v>54.27</v>
      </c>
      <c r="O126" s="33"/>
    </row>
    <row r="127" spans="1:15" ht="40" x14ac:dyDescent="0.25">
      <c r="A127" s="17"/>
      <c r="B127" s="55" t="s">
        <v>332</v>
      </c>
      <c r="C127" s="35" t="s">
        <v>365</v>
      </c>
      <c r="D127" s="32" t="s">
        <v>321</v>
      </c>
      <c r="E127" s="31" t="e">
        <f>'MC REV'!#REF!</f>
        <v>#REF!</v>
      </c>
      <c r="F127" s="31">
        <f t="shared" si="2"/>
        <v>38.340000000000003</v>
      </c>
      <c r="G127" s="13" t="e">
        <f t="shared" si="3"/>
        <v>#REF!</v>
      </c>
      <c r="M127" s="14">
        <f>ROUND(N127*0.3,2)</f>
        <v>30.92</v>
      </c>
      <c r="N127" s="5">
        <v>103.05</v>
      </c>
      <c r="O127" s="33"/>
    </row>
    <row r="128" spans="1:15" ht="62.5" x14ac:dyDescent="0.25">
      <c r="A128" s="17"/>
      <c r="B128" s="52" t="s">
        <v>366</v>
      </c>
      <c r="C128" s="35" t="s">
        <v>367</v>
      </c>
      <c r="D128" s="32" t="s">
        <v>321</v>
      </c>
      <c r="E128" s="31" t="e">
        <f>'MC REV'!#REF!</f>
        <v>#REF!</v>
      </c>
      <c r="F128" s="31">
        <f t="shared" si="2"/>
        <v>177.7</v>
      </c>
      <c r="G128" s="13" t="e">
        <f t="shared" si="3"/>
        <v>#REF!</v>
      </c>
      <c r="M128" s="43">
        <v>143.31</v>
      </c>
      <c r="N128" s="5"/>
    </row>
    <row r="129" spans="1:15" ht="40" x14ac:dyDescent="0.25">
      <c r="A129" s="17"/>
      <c r="B129" s="52" t="s">
        <v>368</v>
      </c>
      <c r="C129" s="35" t="s">
        <v>369</v>
      </c>
      <c r="D129" s="32" t="s">
        <v>111</v>
      </c>
      <c r="E129" s="31" t="e">
        <f>'MC REV'!#REF!</f>
        <v>#REF!</v>
      </c>
      <c r="F129" s="31">
        <f t="shared" si="2"/>
        <v>8.36</v>
      </c>
      <c r="G129" s="13" t="e">
        <f t="shared" si="3"/>
        <v>#REF!</v>
      </c>
      <c r="M129" s="14">
        <v>6.74</v>
      </c>
      <c r="N129" s="5"/>
    </row>
    <row r="130" spans="1:15" ht="40" x14ac:dyDescent="0.25">
      <c r="A130" s="17"/>
      <c r="B130" s="52" t="s">
        <v>370</v>
      </c>
      <c r="C130" s="38" t="s">
        <v>371</v>
      </c>
      <c r="D130" s="32" t="s">
        <v>111</v>
      </c>
      <c r="E130" s="31" t="e">
        <f>'MC REV'!#REF!</f>
        <v>#REF!</v>
      </c>
      <c r="F130" s="31">
        <f t="shared" si="2"/>
        <v>9.75</v>
      </c>
      <c r="G130" s="13" t="e">
        <f t="shared" si="3"/>
        <v>#REF!</v>
      </c>
      <c r="M130" s="14">
        <v>7.86</v>
      </c>
      <c r="N130" s="5"/>
    </row>
    <row r="131" spans="1:15" ht="40" x14ac:dyDescent="0.25">
      <c r="A131" s="17"/>
      <c r="B131" s="52" t="s">
        <v>372</v>
      </c>
      <c r="C131" s="38" t="s">
        <v>373</v>
      </c>
      <c r="D131" s="32" t="s">
        <v>111</v>
      </c>
      <c r="E131" s="31" t="e">
        <f>'MC REV'!#REF!</f>
        <v>#REF!</v>
      </c>
      <c r="F131" s="31">
        <f t="shared" si="2"/>
        <v>2.96</v>
      </c>
      <c r="G131" s="13" t="e">
        <f t="shared" si="3"/>
        <v>#REF!</v>
      </c>
      <c r="M131" s="14">
        <v>2.39</v>
      </c>
      <c r="N131" s="5"/>
    </row>
    <row r="132" spans="1:15" ht="40" x14ac:dyDescent="0.25">
      <c r="A132" s="17"/>
      <c r="B132" s="52" t="s">
        <v>374</v>
      </c>
      <c r="C132" s="35" t="s">
        <v>375</v>
      </c>
      <c r="D132" s="32" t="s">
        <v>111</v>
      </c>
      <c r="E132" s="31" t="e">
        <f>'MC REV'!#REF!</f>
        <v>#REF!</v>
      </c>
      <c r="F132" s="31">
        <f t="shared" si="2"/>
        <v>10.58</v>
      </c>
      <c r="G132" s="13" t="e">
        <f t="shared" si="3"/>
        <v>#REF!</v>
      </c>
      <c r="M132" s="14">
        <v>8.5299999999999994</v>
      </c>
      <c r="N132" s="5"/>
    </row>
    <row r="133" spans="1:15" ht="40" x14ac:dyDescent="0.25">
      <c r="A133" s="17"/>
      <c r="B133" s="52" t="s">
        <v>376</v>
      </c>
      <c r="C133" s="15" t="s">
        <v>377</v>
      </c>
      <c r="D133" s="32" t="s">
        <v>46</v>
      </c>
      <c r="E133" s="31" t="e">
        <f>'MC REV'!#REF!</f>
        <v>#REF!</v>
      </c>
      <c r="F133" s="31">
        <f t="shared" si="2"/>
        <v>76.25</v>
      </c>
      <c r="G133" s="13" t="e">
        <f t="shared" si="3"/>
        <v>#REF!</v>
      </c>
      <c r="M133" s="14">
        <v>61.49</v>
      </c>
      <c r="N133" s="5"/>
    </row>
    <row r="134" spans="1:15" ht="40" x14ac:dyDescent="0.25">
      <c r="A134" s="17"/>
      <c r="B134" s="52" t="s">
        <v>378</v>
      </c>
      <c r="C134" s="35" t="s">
        <v>379</v>
      </c>
      <c r="D134" s="32" t="s">
        <v>46</v>
      </c>
      <c r="E134" s="31" t="e">
        <f>'MC REV'!#REF!</f>
        <v>#REF!</v>
      </c>
      <c r="F134" s="31">
        <f t="shared" si="2"/>
        <v>123.23</v>
      </c>
      <c r="G134" s="13" t="e">
        <f t="shared" si="3"/>
        <v>#REF!</v>
      </c>
      <c r="M134" s="14">
        <v>99.38</v>
      </c>
      <c r="N134" s="5"/>
    </row>
    <row r="135" spans="1:15" ht="40" x14ac:dyDescent="0.25">
      <c r="A135" s="17"/>
      <c r="B135" s="52" t="s">
        <v>380</v>
      </c>
      <c r="C135" s="15" t="s">
        <v>381</v>
      </c>
      <c r="D135" s="32" t="s">
        <v>46</v>
      </c>
      <c r="E135" s="31" t="e">
        <f>'MC REV'!#REF!</f>
        <v>#REF!</v>
      </c>
      <c r="F135" s="31">
        <f t="shared" si="2"/>
        <v>6.57</v>
      </c>
      <c r="G135" s="13" t="e">
        <f t="shared" si="3"/>
        <v>#REF!</v>
      </c>
      <c r="M135" s="14">
        <v>5.3</v>
      </c>
      <c r="N135" s="5"/>
    </row>
    <row r="136" spans="1:15" ht="50" x14ac:dyDescent="0.25">
      <c r="A136" s="17"/>
      <c r="B136" s="52" t="s">
        <v>382</v>
      </c>
      <c r="C136" s="35" t="s">
        <v>383</v>
      </c>
      <c r="D136" s="32" t="s">
        <v>46</v>
      </c>
      <c r="E136" s="31" t="e">
        <f>'MC REV'!#REF!</f>
        <v>#REF!</v>
      </c>
      <c r="F136" s="31">
        <f t="shared" si="2"/>
        <v>161.61000000000001</v>
      </c>
      <c r="G136" s="13" t="e">
        <f t="shared" si="3"/>
        <v>#REF!</v>
      </c>
      <c r="M136" s="43">
        <v>130.33000000000001</v>
      </c>
      <c r="N136" s="5"/>
    </row>
    <row r="137" spans="1:15" x14ac:dyDescent="0.25">
      <c r="A137" s="17"/>
      <c r="B137" s="52"/>
      <c r="C137" s="15"/>
      <c r="D137" s="32"/>
      <c r="E137" s="31" t="e">
        <f>'MC REV'!#REF!</f>
        <v>#REF!</v>
      </c>
      <c r="F137" s="31">
        <f t="shared" si="2"/>
        <v>0</v>
      </c>
      <c r="G137" s="13" t="e">
        <f t="shared" si="3"/>
        <v>#REF!</v>
      </c>
      <c r="M137" s="14"/>
      <c r="N137" s="5"/>
    </row>
    <row r="138" spans="1:15" x14ac:dyDescent="0.25">
      <c r="A138" s="17"/>
      <c r="B138" s="52"/>
      <c r="C138" s="15"/>
      <c r="D138" s="32"/>
      <c r="E138" s="31" t="e">
        <f>'MC REV'!#REF!</f>
        <v>#REF!</v>
      </c>
      <c r="F138" s="31">
        <f t="shared" ref="F138:F190" si="4">ROUND(M138*1.24,2)</f>
        <v>0</v>
      </c>
      <c r="G138" s="13" t="e">
        <f t="shared" si="3"/>
        <v>#REF!</v>
      </c>
      <c r="M138" s="14"/>
      <c r="N138" s="5"/>
    </row>
    <row r="139" spans="1:15" ht="13" x14ac:dyDescent="0.3">
      <c r="A139" s="10" t="s">
        <v>384</v>
      </c>
      <c r="B139" s="54"/>
      <c r="C139" s="18" t="s">
        <v>385</v>
      </c>
      <c r="D139" s="19"/>
      <c r="E139" s="20"/>
      <c r="F139" s="31">
        <f t="shared" si="4"/>
        <v>0</v>
      </c>
      <c r="G139" s="27" t="e">
        <f>SUM(G140:G181)</f>
        <v>#REF!</v>
      </c>
      <c r="M139" s="21"/>
      <c r="N139" s="5"/>
    </row>
    <row r="140" spans="1:15" ht="40" x14ac:dyDescent="0.25">
      <c r="A140" s="36"/>
      <c r="B140" s="55" t="s">
        <v>386</v>
      </c>
      <c r="C140" s="35" t="s">
        <v>387</v>
      </c>
      <c r="D140" s="32" t="s">
        <v>321</v>
      </c>
      <c r="E140" s="31" t="e">
        <f>'MC REV'!#REF!</f>
        <v>#REF!</v>
      </c>
      <c r="F140" s="31">
        <f t="shared" si="4"/>
        <v>18.440000000000001</v>
      </c>
      <c r="G140" s="13" t="e">
        <f t="shared" si="3"/>
        <v>#REF!</v>
      </c>
      <c r="M140" s="14">
        <f>ROUND(N140*0.3,2)</f>
        <v>14.87</v>
      </c>
      <c r="N140" s="5">
        <v>49.58</v>
      </c>
      <c r="O140" s="33"/>
    </row>
    <row r="141" spans="1:15" ht="50" x14ac:dyDescent="0.25">
      <c r="A141" s="36"/>
      <c r="B141" s="52" t="s">
        <v>388</v>
      </c>
      <c r="C141" s="34" t="s">
        <v>389</v>
      </c>
      <c r="D141" s="32" t="s">
        <v>321</v>
      </c>
      <c r="E141" s="31" t="e">
        <f>'MC REV'!#REF!</f>
        <v>#REF!</v>
      </c>
      <c r="F141" s="31">
        <f t="shared" si="4"/>
        <v>69.739999999999995</v>
      </c>
      <c r="G141" s="13" t="e">
        <f t="shared" si="3"/>
        <v>#REF!</v>
      </c>
      <c r="M141" s="43">
        <v>56.24</v>
      </c>
      <c r="N141" s="5"/>
      <c r="O141" s="33"/>
    </row>
    <row r="142" spans="1:15" ht="50" x14ac:dyDescent="0.25">
      <c r="A142" s="36"/>
      <c r="B142" s="52" t="s">
        <v>390</v>
      </c>
      <c r="C142" s="34" t="s">
        <v>391</v>
      </c>
      <c r="D142" s="32" t="s">
        <v>321</v>
      </c>
      <c r="E142" s="31" t="e">
        <f>'MC REV'!#REF!</f>
        <v>#REF!</v>
      </c>
      <c r="F142" s="31">
        <f t="shared" si="4"/>
        <v>65.14</v>
      </c>
      <c r="G142" s="13" t="e">
        <f t="shared" si="3"/>
        <v>#REF!</v>
      </c>
      <c r="M142" s="43">
        <v>52.53</v>
      </c>
      <c r="N142" s="5"/>
    </row>
    <row r="143" spans="1:15" ht="50" x14ac:dyDescent="0.25">
      <c r="A143" s="36"/>
      <c r="B143" s="52" t="s">
        <v>386</v>
      </c>
      <c r="C143" s="34" t="s">
        <v>392</v>
      </c>
      <c r="D143" s="32" t="s">
        <v>321</v>
      </c>
      <c r="E143" s="31" t="e">
        <f>'MC REV'!#REF!</f>
        <v>#REF!</v>
      </c>
      <c r="F143" s="31">
        <f t="shared" si="4"/>
        <v>61.48</v>
      </c>
      <c r="G143" s="13" t="e">
        <f t="shared" si="3"/>
        <v>#REF!</v>
      </c>
      <c r="M143" s="43">
        <v>49.58</v>
      </c>
      <c r="N143" s="5"/>
    </row>
    <row r="144" spans="1:15" ht="52.5" customHeight="1" x14ac:dyDescent="0.25">
      <c r="A144" s="36"/>
      <c r="B144" s="52" t="s">
        <v>393</v>
      </c>
      <c r="C144" s="34" t="s">
        <v>394</v>
      </c>
      <c r="D144" s="32" t="s">
        <v>321</v>
      </c>
      <c r="E144" s="31" t="e">
        <f>'MC REV'!#REF!</f>
        <v>#REF!</v>
      </c>
      <c r="F144" s="31">
        <f t="shared" si="4"/>
        <v>69.2</v>
      </c>
      <c r="G144" s="13" t="e">
        <f t="shared" ref="G144:G190" si="5">ROUND(F144*E144,2)</f>
        <v>#REF!</v>
      </c>
      <c r="M144" s="43">
        <v>55.81</v>
      </c>
      <c r="N144" s="5"/>
    </row>
    <row r="145" spans="1:15" ht="40" x14ac:dyDescent="0.25">
      <c r="A145" s="36"/>
      <c r="B145" s="52" t="s">
        <v>395</v>
      </c>
      <c r="C145" s="35" t="s">
        <v>396</v>
      </c>
      <c r="D145" s="32" t="s">
        <v>321</v>
      </c>
      <c r="E145" s="31" t="e">
        <f>'MC REV'!#REF!</f>
        <v>#REF!</v>
      </c>
      <c r="F145" s="31">
        <f t="shared" si="4"/>
        <v>14.27</v>
      </c>
      <c r="G145" s="13" t="e">
        <f t="shared" si="5"/>
        <v>#REF!</v>
      </c>
      <c r="M145" s="14">
        <f>ROUND(N145*0.3,2)</f>
        <v>11.51</v>
      </c>
      <c r="N145" s="5">
        <v>38.369999999999997</v>
      </c>
      <c r="O145" s="33"/>
    </row>
    <row r="146" spans="1:15" ht="52.5" customHeight="1" x14ac:dyDescent="0.25">
      <c r="A146" s="36"/>
      <c r="B146" s="52" t="s">
        <v>395</v>
      </c>
      <c r="C146" s="34" t="s">
        <v>397</v>
      </c>
      <c r="D146" s="32" t="s">
        <v>321</v>
      </c>
      <c r="E146" s="31" t="e">
        <f>'MC REV'!#REF!</f>
        <v>#REF!</v>
      </c>
      <c r="F146" s="31">
        <f t="shared" si="4"/>
        <v>47.58</v>
      </c>
      <c r="G146" s="13" t="e">
        <f t="shared" si="5"/>
        <v>#REF!</v>
      </c>
      <c r="M146" s="43">
        <v>38.369999999999997</v>
      </c>
      <c r="N146" s="5"/>
    </row>
    <row r="147" spans="1:15" ht="40" x14ac:dyDescent="0.25">
      <c r="A147" s="36"/>
      <c r="B147" s="52" t="s">
        <v>398</v>
      </c>
      <c r="C147" s="35" t="s">
        <v>399</v>
      </c>
      <c r="D147" s="32" t="s">
        <v>111</v>
      </c>
      <c r="E147" s="31" t="e">
        <f>'MC REV'!#REF!</f>
        <v>#REF!</v>
      </c>
      <c r="F147" s="31">
        <f t="shared" si="4"/>
        <v>23.82</v>
      </c>
      <c r="G147" s="13" t="e">
        <f t="shared" si="5"/>
        <v>#REF!</v>
      </c>
      <c r="M147" s="14">
        <v>19.21</v>
      </c>
      <c r="N147" s="5"/>
    </row>
    <row r="148" spans="1:15" ht="87.5" x14ac:dyDescent="0.25">
      <c r="A148" s="36"/>
      <c r="B148" s="52" t="s">
        <v>400</v>
      </c>
      <c r="C148" s="34" t="s">
        <v>401</v>
      </c>
      <c r="D148" s="32" t="s">
        <v>46</v>
      </c>
      <c r="E148" s="31" t="e">
        <f>'MC REV'!#REF!</f>
        <v>#REF!</v>
      </c>
      <c r="F148" s="31">
        <f t="shared" si="4"/>
        <v>132.77000000000001</v>
      </c>
      <c r="G148" s="13" t="e">
        <f t="shared" si="5"/>
        <v>#REF!</v>
      </c>
      <c r="M148" s="14">
        <v>107.07</v>
      </c>
      <c r="N148" s="5"/>
    </row>
    <row r="149" spans="1:15" ht="50" x14ac:dyDescent="0.25">
      <c r="A149" s="36"/>
      <c r="B149" s="52" t="s">
        <v>402</v>
      </c>
      <c r="C149" s="34" t="s">
        <v>403</v>
      </c>
      <c r="D149" s="32" t="s">
        <v>352</v>
      </c>
      <c r="E149" s="31" t="e">
        <f>'MC REV'!#REF!</f>
        <v>#REF!</v>
      </c>
      <c r="F149" s="31">
        <f t="shared" si="4"/>
        <v>230.5</v>
      </c>
      <c r="G149" s="13" t="e">
        <f t="shared" si="5"/>
        <v>#REF!</v>
      </c>
      <c r="M149" s="14">
        <v>185.89</v>
      </c>
      <c r="N149" s="5"/>
    </row>
    <row r="150" spans="1:15" ht="40" x14ac:dyDescent="0.25">
      <c r="A150" s="36"/>
      <c r="B150" s="52" t="s">
        <v>404</v>
      </c>
      <c r="C150" s="35" t="s">
        <v>405</v>
      </c>
      <c r="D150" s="32" t="s">
        <v>352</v>
      </c>
      <c r="E150" s="31" t="e">
        <f>'MC REV'!#REF!</f>
        <v>#REF!</v>
      </c>
      <c r="F150" s="31">
        <f t="shared" si="4"/>
        <v>338.05</v>
      </c>
      <c r="G150" s="13" t="e">
        <f t="shared" si="5"/>
        <v>#REF!</v>
      </c>
      <c r="M150" s="14">
        <v>272.62</v>
      </c>
      <c r="N150" s="5"/>
    </row>
    <row r="151" spans="1:15" ht="50" x14ac:dyDescent="0.25">
      <c r="A151" s="36"/>
      <c r="B151" s="52" t="s">
        <v>406</v>
      </c>
      <c r="C151" s="34" t="s">
        <v>407</v>
      </c>
      <c r="D151" s="32" t="s">
        <v>352</v>
      </c>
      <c r="E151" s="31" t="e">
        <f>'MC REV'!#REF!</f>
        <v>#REF!</v>
      </c>
      <c r="F151" s="31">
        <f t="shared" si="4"/>
        <v>78.849999999999994</v>
      </c>
      <c r="G151" s="13" t="e">
        <f t="shared" si="5"/>
        <v>#REF!</v>
      </c>
      <c r="M151" s="14">
        <v>63.59</v>
      </c>
      <c r="N151" s="5"/>
    </row>
    <row r="152" spans="1:15" ht="62.5" x14ac:dyDescent="0.25">
      <c r="A152" s="36"/>
      <c r="B152" s="52" t="s">
        <v>408</v>
      </c>
      <c r="C152" s="37" t="s">
        <v>409</v>
      </c>
      <c r="D152" s="32" t="s">
        <v>352</v>
      </c>
      <c r="E152" s="31" t="e">
        <f>'MC REV'!#REF!</f>
        <v>#REF!</v>
      </c>
      <c r="F152" s="31">
        <f t="shared" si="4"/>
        <v>316.04000000000002</v>
      </c>
      <c r="G152" s="13" t="e">
        <f t="shared" si="5"/>
        <v>#REF!</v>
      </c>
      <c r="M152" s="47">
        <v>254.87</v>
      </c>
      <c r="N152" s="5"/>
    </row>
    <row r="153" spans="1:15" ht="40" x14ac:dyDescent="0.25">
      <c r="A153" s="36"/>
      <c r="B153" s="52" t="s">
        <v>410</v>
      </c>
      <c r="C153" s="34" t="s">
        <v>411</v>
      </c>
      <c r="D153" s="32" t="s">
        <v>46</v>
      </c>
      <c r="E153" s="31" t="e">
        <f>'MC REV'!#REF!</f>
        <v>#REF!</v>
      </c>
      <c r="F153" s="31">
        <f t="shared" si="4"/>
        <v>28.88</v>
      </c>
      <c r="G153" s="13" t="e">
        <f t="shared" si="5"/>
        <v>#REF!</v>
      </c>
      <c r="M153" s="47">
        <v>23.29</v>
      </c>
      <c r="N153" s="5"/>
    </row>
    <row r="154" spans="1:15" ht="40" x14ac:dyDescent="0.25">
      <c r="A154" s="36"/>
      <c r="B154" s="52" t="s">
        <v>412</v>
      </c>
      <c r="C154" s="34" t="s">
        <v>413</v>
      </c>
      <c r="D154" s="32" t="s">
        <v>46</v>
      </c>
      <c r="E154" s="31" t="e">
        <f>'MC REV'!#REF!</f>
        <v>#REF!</v>
      </c>
      <c r="F154" s="31">
        <f t="shared" si="4"/>
        <v>18.3</v>
      </c>
      <c r="G154" s="13" t="e">
        <f t="shared" si="5"/>
        <v>#REF!</v>
      </c>
      <c r="M154" s="14">
        <v>14.76</v>
      </c>
      <c r="N154" s="5"/>
    </row>
    <row r="155" spans="1:15" ht="40" x14ac:dyDescent="0.25">
      <c r="A155" s="36"/>
      <c r="B155" s="52" t="s">
        <v>414</v>
      </c>
      <c r="C155" s="34" t="s">
        <v>415</v>
      </c>
      <c r="D155" s="32" t="s">
        <v>46</v>
      </c>
      <c r="E155" s="31" t="e">
        <f>'MC REV'!#REF!</f>
        <v>#REF!</v>
      </c>
      <c r="F155" s="31">
        <f t="shared" si="4"/>
        <v>30.93</v>
      </c>
      <c r="G155" s="13" t="e">
        <f t="shared" si="5"/>
        <v>#REF!</v>
      </c>
      <c r="M155" s="14">
        <v>24.94</v>
      </c>
      <c r="N155" s="5"/>
    </row>
    <row r="156" spans="1:15" ht="75" x14ac:dyDescent="0.25">
      <c r="A156" s="36"/>
      <c r="B156" s="52" t="s">
        <v>416</v>
      </c>
      <c r="C156" s="34" t="s">
        <v>417</v>
      </c>
      <c r="D156" s="32" t="s">
        <v>352</v>
      </c>
      <c r="E156" s="31" t="e">
        <f>'MC REV'!#REF!</f>
        <v>#REF!</v>
      </c>
      <c r="F156" s="31">
        <f t="shared" si="4"/>
        <v>158.94</v>
      </c>
      <c r="G156" s="13" t="e">
        <f t="shared" si="5"/>
        <v>#REF!</v>
      </c>
      <c r="M156" s="14">
        <v>128.18</v>
      </c>
      <c r="N156" s="5"/>
    </row>
    <row r="157" spans="1:15" ht="37.5" x14ac:dyDescent="0.25">
      <c r="A157" s="36"/>
      <c r="B157" s="52" t="s">
        <v>418</v>
      </c>
      <c r="C157" s="34" t="s">
        <v>419</v>
      </c>
      <c r="D157" s="32" t="s">
        <v>46</v>
      </c>
      <c r="E157" s="31" t="e">
        <f>'MC REV'!#REF!</f>
        <v>#REF!</v>
      </c>
      <c r="F157" s="31">
        <f t="shared" si="4"/>
        <v>43.02</v>
      </c>
      <c r="G157" s="13" t="e">
        <f t="shared" si="5"/>
        <v>#REF!</v>
      </c>
      <c r="M157" s="14">
        <v>34.69</v>
      </c>
      <c r="N157" s="5"/>
    </row>
    <row r="158" spans="1:15" ht="40" x14ac:dyDescent="0.25">
      <c r="A158" s="36"/>
      <c r="B158" s="52" t="s">
        <v>420</v>
      </c>
      <c r="C158" s="34" t="s">
        <v>421</v>
      </c>
      <c r="D158" s="32" t="s">
        <v>46</v>
      </c>
      <c r="E158" s="31" t="e">
        <f>'MC REV'!#REF!</f>
        <v>#REF!</v>
      </c>
      <c r="F158" s="31">
        <f t="shared" si="4"/>
        <v>13.66</v>
      </c>
      <c r="G158" s="13" t="e">
        <f t="shared" si="5"/>
        <v>#REF!</v>
      </c>
      <c r="M158" s="14">
        <v>11.02</v>
      </c>
      <c r="N158" s="5"/>
    </row>
    <row r="159" spans="1:15" ht="87.5" x14ac:dyDescent="0.25">
      <c r="A159" s="36"/>
      <c r="B159" s="52" t="s">
        <v>422</v>
      </c>
      <c r="C159" s="34" t="s">
        <v>423</v>
      </c>
      <c r="D159" s="32" t="s">
        <v>352</v>
      </c>
      <c r="E159" s="31" t="e">
        <f>'MC REV'!#REF!</f>
        <v>#REF!</v>
      </c>
      <c r="F159" s="31">
        <f t="shared" si="4"/>
        <v>61.18</v>
      </c>
      <c r="G159" s="13" t="e">
        <f t="shared" si="5"/>
        <v>#REF!</v>
      </c>
      <c r="M159" s="14">
        <v>49.34</v>
      </c>
      <c r="N159" s="5"/>
    </row>
    <row r="160" spans="1:15" ht="50" x14ac:dyDescent="0.25">
      <c r="A160" s="36"/>
      <c r="B160" s="52" t="s">
        <v>424</v>
      </c>
      <c r="C160" s="34" t="s">
        <v>425</v>
      </c>
      <c r="D160" s="32" t="s">
        <v>46</v>
      </c>
      <c r="E160" s="31" t="e">
        <f>'MC REV'!#REF!</f>
        <v>#REF!</v>
      </c>
      <c r="F160" s="31">
        <f t="shared" si="4"/>
        <v>131.55000000000001</v>
      </c>
      <c r="G160" s="13" t="e">
        <f t="shared" si="5"/>
        <v>#REF!</v>
      </c>
      <c r="M160" s="47">
        <v>106.09</v>
      </c>
      <c r="N160" s="5"/>
    </row>
    <row r="161" spans="1:15" ht="50" x14ac:dyDescent="0.25">
      <c r="A161" s="36"/>
      <c r="B161" s="52" t="s">
        <v>426</v>
      </c>
      <c r="C161" s="34" t="s">
        <v>427</v>
      </c>
      <c r="D161" s="32" t="s">
        <v>46</v>
      </c>
      <c r="E161" s="31" t="e">
        <f>'MC REV'!#REF!</f>
        <v>#REF!</v>
      </c>
      <c r="F161" s="31">
        <f t="shared" si="4"/>
        <v>54.99</v>
      </c>
      <c r="G161" s="13" t="e">
        <f t="shared" si="5"/>
        <v>#REF!</v>
      </c>
      <c r="M161" s="47">
        <v>44.35</v>
      </c>
      <c r="N161" s="5"/>
    </row>
    <row r="162" spans="1:15" ht="40" x14ac:dyDescent="0.25">
      <c r="A162" s="36"/>
      <c r="B162" s="52" t="s">
        <v>428</v>
      </c>
      <c r="C162" s="34" t="s">
        <v>429</v>
      </c>
      <c r="D162" s="32" t="s">
        <v>46</v>
      </c>
      <c r="E162" s="31" t="e">
        <f>'MC REV'!#REF!</f>
        <v>#REF!</v>
      </c>
      <c r="F162" s="31">
        <f t="shared" si="4"/>
        <v>79.52</v>
      </c>
      <c r="G162" s="13" t="e">
        <f t="shared" si="5"/>
        <v>#REF!</v>
      </c>
      <c r="M162" s="47">
        <v>64.13</v>
      </c>
      <c r="N162" s="5"/>
    </row>
    <row r="163" spans="1:15" ht="40" x14ac:dyDescent="0.25">
      <c r="A163" s="36"/>
      <c r="B163" s="52" t="s">
        <v>430</v>
      </c>
      <c r="C163" s="35" t="s">
        <v>431</v>
      </c>
      <c r="D163" s="32" t="s">
        <v>46</v>
      </c>
      <c r="E163" s="31" t="e">
        <f>'MC REV'!#REF!</f>
        <v>#REF!</v>
      </c>
      <c r="F163" s="31">
        <f t="shared" si="4"/>
        <v>78.06</v>
      </c>
      <c r="G163" s="13" t="e">
        <f t="shared" si="5"/>
        <v>#REF!</v>
      </c>
      <c r="M163" s="47">
        <v>62.95</v>
      </c>
      <c r="N163" s="41" t="s">
        <v>432</v>
      </c>
      <c r="O163" s="49" t="s">
        <v>433</v>
      </c>
    </row>
    <row r="164" spans="1:15" ht="40" x14ac:dyDescent="0.25">
      <c r="A164" s="36"/>
      <c r="B164" s="52" t="s">
        <v>434</v>
      </c>
      <c r="C164" s="35" t="s">
        <v>435</v>
      </c>
      <c r="D164" s="32" t="s">
        <v>46</v>
      </c>
      <c r="E164" s="31" t="e">
        <f>'MC REV'!#REF!</f>
        <v>#REF!</v>
      </c>
      <c r="F164" s="31">
        <f t="shared" si="4"/>
        <v>40.99</v>
      </c>
      <c r="G164" s="13" t="e">
        <f t="shared" si="5"/>
        <v>#REF!</v>
      </c>
      <c r="M164" s="14">
        <v>33.06</v>
      </c>
      <c r="N164" s="5"/>
    </row>
    <row r="165" spans="1:15" ht="40" x14ac:dyDescent="0.25">
      <c r="A165" s="36"/>
      <c r="B165" s="52" t="s">
        <v>436</v>
      </c>
      <c r="C165" s="35" t="s">
        <v>437</v>
      </c>
      <c r="D165" s="32" t="s">
        <v>46</v>
      </c>
      <c r="E165" s="31" t="e">
        <f>'MC REV'!#REF!</f>
        <v>#REF!</v>
      </c>
      <c r="F165" s="31">
        <f t="shared" si="4"/>
        <v>461.26</v>
      </c>
      <c r="G165" s="13" t="e">
        <f t="shared" si="5"/>
        <v>#REF!</v>
      </c>
      <c r="M165" s="14">
        <v>371.98</v>
      </c>
      <c r="N165" s="5"/>
    </row>
    <row r="166" spans="1:15" ht="40" x14ac:dyDescent="0.25">
      <c r="A166" s="36"/>
      <c r="B166" s="52" t="s">
        <v>438</v>
      </c>
      <c r="C166" s="35" t="s">
        <v>439</v>
      </c>
      <c r="D166" s="32" t="s">
        <v>46</v>
      </c>
      <c r="E166" s="31" t="e">
        <f>'MC REV'!#REF!</f>
        <v>#REF!</v>
      </c>
      <c r="F166" s="31">
        <f t="shared" si="4"/>
        <v>697.36</v>
      </c>
      <c r="G166" s="13" t="e">
        <f t="shared" si="5"/>
        <v>#REF!</v>
      </c>
      <c r="M166" s="14">
        <v>562.39</v>
      </c>
      <c r="N166" s="5"/>
    </row>
    <row r="167" spans="1:15" ht="40" x14ac:dyDescent="0.25">
      <c r="A167" s="36"/>
      <c r="B167" s="52" t="s">
        <v>440</v>
      </c>
      <c r="C167" s="34" t="s">
        <v>441</v>
      </c>
      <c r="D167" s="32" t="s">
        <v>40</v>
      </c>
      <c r="E167" s="45" t="e">
        <f>'MC REV'!#REF!</f>
        <v>#REF!</v>
      </c>
      <c r="F167" s="31">
        <f t="shared" si="4"/>
        <v>411.72</v>
      </c>
      <c r="G167" s="45" t="e">
        <f t="shared" si="5"/>
        <v>#REF!</v>
      </c>
      <c r="H167" s="49"/>
      <c r="I167" s="49"/>
      <c r="J167" s="49"/>
      <c r="K167" s="49"/>
      <c r="L167" s="49"/>
      <c r="M167" s="57">
        <f>N167/0.6</f>
        <v>332.03333333333336</v>
      </c>
      <c r="N167" s="41">
        <v>199.22</v>
      </c>
      <c r="O167" s="49" t="s">
        <v>442</v>
      </c>
    </row>
    <row r="168" spans="1:15" ht="40" x14ac:dyDescent="0.25">
      <c r="A168" s="36"/>
      <c r="B168" s="52" t="s">
        <v>443</v>
      </c>
      <c r="C168" s="34" t="s">
        <v>444</v>
      </c>
      <c r="D168" s="32" t="s">
        <v>352</v>
      </c>
      <c r="E168" s="31" t="e">
        <f>'MC REV'!#REF!</f>
        <v>#REF!</v>
      </c>
      <c r="F168" s="31">
        <f t="shared" si="4"/>
        <v>79.010000000000005</v>
      </c>
      <c r="G168" s="13" t="e">
        <f t="shared" si="5"/>
        <v>#REF!</v>
      </c>
      <c r="M168" s="14">
        <v>63.72</v>
      </c>
      <c r="N168" s="5"/>
    </row>
    <row r="169" spans="1:15" ht="40" x14ac:dyDescent="0.25">
      <c r="A169" s="36"/>
      <c r="B169" s="52" t="s">
        <v>445</v>
      </c>
      <c r="C169" s="34" t="s">
        <v>446</v>
      </c>
      <c r="D169" s="32" t="s">
        <v>46</v>
      </c>
      <c r="E169" s="31" t="e">
        <f>'MC REV'!#REF!</f>
        <v>#REF!</v>
      </c>
      <c r="F169" s="31">
        <f t="shared" si="4"/>
        <v>83.45</v>
      </c>
      <c r="G169" s="13" t="e">
        <f t="shared" si="5"/>
        <v>#REF!</v>
      </c>
      <c r="M169" s="14">
        <v>67.3</v>
      </c>
      <c r="N169" s="5"/>
    </row>
    <row r="170" spans="1:15" ht="40" x14ac:dyDescent="0.25">
      <c r="A170" s="36"/>
      <c r="B170" s="52" t="s">
        <v>447</v>
      </c>
      <c r="C170" s="34" t="s">
        <v>448</v>
      </c>
      <c r="D170" s="32" t="s">
        <v>46</v>
      </c>
      <c r="E170" s="31" t="e">
        <f>'MC REV'!#REF!</f>
        <v>#REF!</v>
      </c>
      <c r="F170" s="31">
        <f t="shared" si="4"/>
        <v>59.27</v>
      </c>
      <c r="G170" s="13" t="e">
        <f t="shared" si="5"/>
        <v>#REF!</v>
      </c>
      <c r="M170" s="14">
        <v>47.8</v>
      </c>
      <c r="N170" s="5"/>
    </row>
    <row r="171" spans="1:15" ht="40" x14ac:dyDescent="0.25">
      <c r="A171" s="36"/>
      <c r="B171" s="52" t="s">
        <v>449</v>
      </c>
      <c r="C171" s="58" t="s">
        <v>450</v>
      </c>
      <c r="D171" s="32" t="s">
        <v>352</v>
      </c>
      <c r="E171" s="45" t="e">
        <f>'MC REV'!#REF!</f>
        <v>#REF!</v>
      </c>
      <c r="F171" s="45">
        <f t="shared" si="4"/>
        <v>595.82000000000005</v>
      </c>
      <c r="G171" s="45" t="e">
        <f t="shared" si="5"/>
        <v>#REF!</v>
      </c>
      <c r="H171" s="33"/>
      <c r="I171" s="33"/>
      <c r="J171" s="33"/>
      <c r="K171" s="33"/>
      <c r="L171" s="33"/>
      <c r="M171" s="43">
        <v>480.5</v>
      </c>
      <c r="N171" s="5"/>
    </row>
    <row r="172" spans="1:15" ht="40" x14ac:dyDescent="0.25">
      <c r="A172" s="36"/>
      <c r="B172" s="52" t="s">
        <v>451</v>
      </c>
      <c r="C172" s="15" t="s">
        <v>452</v>
      </c>
      <c r="D172" s="32" t="s">
        <v>46</v>
      </c>
      <c r="E172" s="31" t="e">
        <f>'MC REV'!#REF!</f>
        <v>#REF!</v>
      </c>
      <c r="F172" s="31">
        <f t="shared" si="4"/>
        <v>51.86</v>
      </c>
      <c r="G172" s="13" t="e">
        <f t="shared" si="5"/>
        <v>#REF!</v>
      </c>
      <c r="M172" s="14">
        <v>41.82</v>
      </c>
      <c r="N172" s="5"/>
    </row>
    <row r="173" spans="1:15" ht="40" x14ac:dyDescent="0.25">
      <c r="A173" s="36"/>
      <c r="B173" s="52" t="s">
        <v>453</v>
      </c>
      <c r="C173" s="34" t="s">
        <v>454</v>
      </c>
      <c r="D173" s="32" t="s">
        <v>46</v>
      </c>
      <c r="E173" s="31" t="e">
        <f>'MC REV'!#REF!</f>
        <v>#REF!</v>
      </c>
      <c r="F173" s="31">
        <f t="shared" si="4"/>
        <v>142.46</v>
      </c>
      <c r="G173" s="13" t="e">
        <f t="shared" si="5"/>
        <v>#REF!</v>
      </c>
      <c r="M173" s="47">
        <v>114.89</v>
      </c>
      <c r="N173" s="5"/>
    </row>
    <row r="174" spans="1:15" ht="30" x14ac:dyDescent="0.25">
      <c r="A174" s="36"/>
      <c r="B174" s="52" t="s">
        <v>455</v>
      </c>
      <c r="C174" s="34" t="s">
        <v>456</v>
      </c>
      <c r="D174" s="32" t="s">
        <v>111</v>
      </c>
      <c r="E174" s="45" t="e">
        <f>'MC REV'!#REF!</f>
        <v>#REF!</v>
      </c>
      <c r="F174" s="45">
        <f t="shared" si="4"/>
        <v>248.92</v>
      </c>
      <c r="G174" s="45" t="e">
        <f t="shared" si="5"/>
        <v>#REF!</v>
      </c>
      <c r="H174" s="33"/>
      <c r="I174" s="33"/>
      <c r="J174" s="33"/>
      <c r="K174" s="33"/>
      <c r="L174" s="33"/>
      <c r="M174" s="51">
        <v>200.74</v>
      </c>
      <c r="N174" s="5"/>
    </row>
    <row r="175" spans="1:15" ht="112.5" x14ac:dyDescent="0.25">
      <c r="A175" s="36"/>
      <c r="B175" s="52" t="s">
        <v>457</v>
      </c>
      <c r="C175" s="58" t="s">
        <v>458</v>
      </c>
      <c r="D175" s="32" t="s">
        <v>46</v>
      </c>
      <c r="E175" s="31" t="e">
        <f>'MC REV'!#REF!</f>
        <v>#REF!</v>
      </c>
      <c r="F175" s="31">
        <f t="shared" si="4"/>
        <v>5017.3900000000003</v>
      </c>
      <c r="G175" s="13" t="e">
        <f t="shared" si="5"/>
        <v>#REF!</v>
      </c>
      <c r="M175" s="47">
        <v>4046.2799999999997</v>
      </c>
      <c r="N175" s="5"/>
    </row>
    <row r="176" spans="1:15" ht="62.5" x14ac:dyDescent="0.25">
      <c r="A176" s="36"/>
      <c r="B176" s="52" t="s">
        <v>459</v>
      </c>
      <c r="C176" s="58" t="s">
        <v>460</v>
      </c>
      <c r="D176" s="56" t="s">
        <v>352</v>
      </c>
      <c r="E176" s="31" t="e">
        <f>'MC REV'!#REF!</f>
        <v>#REF!</v>
      </c>
      <c r="F176" s="31">
        <f t="shared" si="4"/>
        <v>433.44</v>
      </c>
      <c r="G176" s="13" t="e">
        <f t="shared" si="5"/>
        <v>#REF!</v>
      </c>
      <c r="M176" s="51">
        <v>349.55</v>
      </c>
      <c r="N176" s="5"/>
    </row>
    <row r="177" spans="1:15" ht="75" x14ac:dyDescent="0.25">
      <c r="A177" s="36"/>
      <c r="B177" s="52" t="s">
        <v>461</v>
      </c>
      <c r="C177" s="46" t="s">
        <v>462</v>
      </c>
      <c r="D177" s="32" t="s">
        <v>46</v>
      </c>
      <c r="E177" s="31" t="e">
        <f>'MC REV'!#REF!</f>
        <v>#REF!</v>
      </c>
      <c r="F177" s="31">
        <f t="shared" si="4"/>
        <v>1021.98</v>
      </c>
      <c r="G177" s="13" t="e">
        <f t="shared" si="5"/>
        <v>#REF!</v>
      </c>
      <c r="M177" s="51">
        <v>824.18</v>
      </c>
      <c r="N177" s="5"/>
    </row>
    <row r="178" spans="1:15" ht="62.5" x14ac:dyDescent="0.25">
      <c r="A178" s="36"/>
      <c r="B178" s="52" t="s">
        <v>463</v>
      </c>
      <c r="C178" s="46" t="s">
        <v>464</v>
      </c>
      <c r="D178" s="32" t="s">
        <v>46</v>
      </c>
      <c r="E178" s="31" t="e">
        <f>'MC REV'!#REF!</f>
        <v>#REF!</v>
      </c>
      <c r="F178" s="31">
        <f t="shared" si="4"/>
        <v>1553.03</v>
      </c>
      <c r="G178" s="13" t="e">
        <f t="shared" si="5"/>
        <v>#REF!</v>
      </c>
      <c r="M178" s="51">
        <v>1252.44</v>
      </c>
      <c r="N178" s="5"/>
    </row>
    <row r="179" spans="1:15" ht="40" x14ac:dyDescent="0.25">
      <c r="A179" s="36"/>
      <c r="B179" s="52" t="s">
        <v>465</v>
      </c>
      <c r="C179" s="46" t="s">
        <v>466</v>
      </c>
      <c r="D179" s="32" t="s">
        <v>46</v>
      </c>
      <c r="E179" s="31" t="e">
        <f>'MC REV'!#REF!</f>
        <v>#REF!</v>
      </c>
      <c r="F179" s="31">
        <f t="shared" si="4"/>
        <v>21.92</v>
      </c>
      <c r="G179" s="13" t="e">
        <f t="shared" si="5"/>
        <v>#REF!</v>
      </c>
      <c r="M179" s="51">
        <v>17.68</v>
      </c>
      <c r="N179" s="5"/>
    </row>
    <row r="180" spans="1:15" x14ac:dyDescent="0.25">
      <c r="A180" s="36"/>
      <c r="B180" s="52"/>
      <c r="C180" s="46"/>
      <c r="D180" s="12"/>
      <c r="E180" s="31" t="e">
        <f>'MC REV'!#REF!</f>
        <v>#REF!</v>
      </c>
      <c r="F180" s="31">
        <f t="shared" si="4"/>
        <v>0</v>
      </c>
      <c r="G180" s="13" t="e">
        <f t="shared" si="5"/>
        <v>#REF!</v>
      </c>
      <c r="M180" s="51"/>
      <c r="N180" s="5"/>
    </row>
    <row r="181" spans="1:15" x14ac:dyDescent="0.25">
      <c r="A181" s="36"/>
      <c r="B181" s="52"/>
      <c r="C181" s="46"/>
      <c r="D181" s="12"/>
      <c r="E181" s="31" t="e">
        <f>'MC REV'!#REF!</f>
        <v>#REF!</v>
      </c>
      <c r="F181" s="31">
        <f t="shared" si="4"/>
        <v>0</v>
      </c>
      <c r="G181" s="13" t="e">
        <f t="shared" si="5"/>
        <v>#REF!</v>
      </c>
      <c r="M181" s="51"/>
      <c r="N181" s="5"/>
    </row>
    <row r="182" spans="1:15" ht="13" x14ac:dyDescent="0.3">
      <c r="A182" s="10" t="s">
        <v>467</v>
      </c>
      <c r="B182" s="54"/>
      <c r="C182" s="11" t="s">
        <v>468</v>
      </c>
      <c r="D182" s="12"/>
      <c r="E182" s="13"/>
      <c r="F182" s="31">
        <f t="shared" si="4"/>
        <v>0</v>
      </c>
      <c r="G182" s="27" t="e">
        <f>SUM(G183:G190)</f>
        <v>#REF!</v>
      </c>
      <c r="M182" s="21"/>
      <c r="N182" s="5"/>
    </row>
    <row r="183" spans="1:15" ht="30" x14ac:dyDescent="0.25">
      <c r="A183" s="17"/>
      <c r="B183" s="52" t="s">
        <v>469</v>
      </c>
      <c r="C183" s="34" t="s">
        <v>470</v>
      </c>
      <c r="D183" s="12" t="s">
        <v>40</v>
      </c>
      <c r="E183" s="31" t="e">
        <f>'MC REV'!#REF!</f>
        <v>#REF!</v>
      </c>
      <c r="F183" s="31">
        <f t="shared" si="4"/>
        <v>1.39</v>
      </c>
      <c r="G183" s="13" t="e">
        <f t="shared" si="5"/>
        <v>#REF!</v>
      </c>
      <c r="M183" s="14">
        <v>1.1200000000000001</v>
      </c>
      <c r="N183" s="5"/>
    </row>
    <row r="184" spans="1:15" ht="40" x14ac:dyDescent="0.25">
      <c r="A184" s="17"/>
      <c r="B184" s="52" t="s">
        <v>471</v>
      </c>
      <c r="C184" s="35" t="s">
        <v>472</v>
      </c>
      <c r="D184" s="12" t="s">
        <v>40</v>
      </c>
      <c r="E184" s="31" t="e">
        <f>'MC REV'!#REF!</f>
        <v>#REF!</v>
      </c>
      <c r="F184" s="31">
        <f t="shared" si="4"/>
        <v>8.2799999999999994</v>
      </c>
      <c r="G184" s="13" t="e">
        <f t="shared" si="5"/>
        <v>#REF!</v>
      </c>
      <c r="M184" s="14">
        <v>6.68</v>
      </c>
      <c r="N184" s="5"/>
    </row>
    <row r="185" spans="1:15" ht="40" x14ac:dyDescent="0.25">
      <c r="A185" s="17"/>
      <c r="B185" s="52" t="s">
        <v>473</v>
      </c>
      <c r="C185" s="35" t="s">
        <v>474</v>
      </c>
      <c r="D185" s="32" t="s">
        <v>40</v>
      </c>
      <c r="E185" s="31" t="e">
        <f>'MC REV'!#REF!</f>
        <v>#REF!</v>
      </c>
      <c r="F185" s="31">
        <f t="shared" si="4"/>
        <v>246.77</v>
      </c>
      <c r="G185" s="13" t="e">
        <f t="shared" si="5"/>
        <v>#REF!</v>
      </c>
      <c r="M185" s="43">
        <v>199.01</v>
      </c>
      <c r="N185" s="48"/>
    </row>
    <row r="186" spans="1:15" ht="50" x14ac:dyDescent="0.25">
      <c r="A186" s="17"/>
      <c r="B186" s="52" t="s">
        <v>475</v>
      </c>
      <c r="C186" s="35" t="s">
        <v>476</v>
      </c>
      <c r="D186" s="32" t="s">
        <v>40</v>
      </c>
      <c r="E186" s="31" t="e">
        <f>'MC REV'!#REF!</f>
        <v>#REF!</v>
      </c>
      <c r="F186" s="31">
        <f t="shared" si="4"/>
        <v>40.130000000000003</v>
      </c>
      <c r="G186" s="13" t="e">
        <f t="shared" si="5"/>
        <v>#REF!</v>
      </c>
      <c r="M186" s="14">
        <v>32.36</v>
      </c>
      <c r="N186" s="5"/>
    </row>
    <row r="187" spans="1:15" ht="40" x14ac:dyDescent="0.25">
      <c r="A187" s="17"/>
      <c r="B187" s="52" t="s">
        <v>440</v>
      </c>
      <c r="C187" s="34" t="s">
        <v>441</v>
      </c>
      <c r="D187" s="32" t="s">
        <v>40</v>
      </c>
      <c r="E187" s="31" t="e">
        <f>'MC REV'!#REF!</f>
        <v>#REF!</v>
      </c>
      <c r="F187" s="31">
        <f t="shared" si="4"/>
        <v>411.72</v>
      </c>
      <c r="G187" s="13" t="e">
        <f t="shared" si="5"/>
        <v>#REF!</v>
      </c>
      <c r="M187" s="43">
        <f>N187/0.6</f>
        <v>332.03333333333336</v>
      </c>
      <c r="N187" s="3">
        <v>199.22</v>
      </c>
      <c r="O187" s="33" t="s">
        <v>442</v>
      </c>
    </row>
    <row r="188" spans="1:15" ht="87.5" x14ac:dyDescent="0.25">
      <c r="A188" s="17"/>
      <c r="B188" s="52" t="s">
        <v>477</v>
      </c>
      <c r="C188" s="58" t="s">
        <v>478</v>
      </c>
      <c r="D188" s="32" t="s">
        <v>111</v>
      </c>
      <c r="E188" s="31" t="e">
        <f>'MC REV'!#REF!</f>
        <v>#REF!</v>
      </c>
      <c r="F188" s="31">
        <f t="shared" si="4"/>
        <v>238.53</v>
      </c>
      <c r="G188" s="13" t="e">
        <f t="shared" si="5"/>
        <v>#REF!</v>
      </c>
      <c r="M188" s="43">
        <v>192.36</v>
      </c>
      <c r="N188" s="5"/>
    </row>
    <row r="189" spans="1:15" ht="37.5" x14ac:dyDescent="0.25">
      <c r="A189" s="17"/>
      <c r="B189" s="52" t="s">
        <v>479</v>
      </c>
      <c r="C189" s="35" t="s">
        <v>480</v>
      </c>
      <c r="D189" s="32" t="s">
        <v>111</v>
      </c>
      <c r="E189" s="31" t="e">
        <f>'MC REV'!#REF!</f>
        <v>#REF!</v>
      </c>
      <c r="F189" s="31">
        <f t="shared" si="4"/>
        <v>54.46</v>
      </c>
      <c r="G189" s="13" t="e">
        <f t="shared" si="5"/>
        <v>#REF!</v>
      </c>
      <c r="M189" s="14">
        <v>43.92</v>
      </c>
      <c r="N189" s="5"/>
    </row>
    <row r="190" spans="1:15" x14ac:dyDescent="0.25">
      <c r="A190" s="17"/>
      <c r="B190" s="52"/>
      <c r="C190" s="35"/>
      <c r="D190" s="32"/>
      <c r="E190" s="31" t="e">
        <f>'MC REV'!#REF!</f>
        <v>#REF!</v>
      </c>
      <c r="F190" s="31">
        <f t="shared" si="4"/>
        <v>0</v>
      </c>
      <c r="G190" s="13" t="e">
        <f t="shared" si="5"/>
        <v>#REF!</v>
      </c>
      <c r="M190" s="14"/>
      <c r="N190" s="5"/>
    </row>
    <row r="191" spans="1:15" ht="13" x14ac:dyDescent="0.3">
      <c r="A191" s="22"/>
      <c r="B191" s="22"/>
      <c r="C191" s="23"/>
      <c r="D191" s="24"/>
      <c r="E191" s="25"/>
      <c r="F191" s="26" t="s">
        <v>481</v>
      </c>
      <c r="G191" s="27" t="e">
        <f>SUM(G8:G190)/2</f>
        <v>#REF!</v>
      </c>
    </row>
    <row r="193" spans="3:3" x14ac:dyDescent="0.25">
      <c r="C193" s="30"/>
    </row>
    <row r="194" spans="3:3" x14ac:dyDescent="0.25">
      <c r="C194" s="30"/>
    </row>
    <row r="195" spans="3:3" x14ac:dyDescent="0.25">
      <c r="C195" s="30"/>
    </row>
    <row r="196" spans="3:3" x14ac:dyDescent="0.25">
      <c r="C196" s="30"/>
    </row>
  </sheetData>
  <mergeCells count="5">
    <mergeCell ref="A1:G1"/>
    <mergeCell ref="A2:G2"/>
    <mergeCell ref="C4:G4"/>
    <mergeCell ref="C5:E5"/>
    <mergeCell ref="G5:I5"/>
  </mergeCells>
  <pageMargins left="1.1811023622047245" right="0.19685039370078741" top="1.1811023622047245" bottom="0.78740157480314965" header="0.51181102362204722" footer="0.51181102362204722"/>
  <pageSetup paperSize="9" scale="90" orientation="portrait" horizontalDpi="300" verticalDpi="300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5"/>
  <sheetViews>
    <sheetView view="pageBreakPreview" zoomScale="90" zoomScaleNormal="100" zoomScaleSheetLayoutView="90" zoomScalePageLayoutView="55" workbookViewId="0">
      <selection activeCell="D35" sqref="D35"/>
    </sheetView>
  </sheetViews>
  <sheetFormatPr defaultRowHeight="12.5" x14ac:dyDescent="0.25"/>
  <cols>
    <col min="1" max="1" width="6.7265625" style="44" bestFit="1" customWidth="1"/>
    <col min="2" max="2" width="45.7265625" style="44" customWidth="1"/>
    <col min="3" max="3" width="5.453125" style="44" customWidth="1"/>
    <col min="4" max="5" width="12.453125" style="64" customWidth="1"/>
    <col min="6" max="6" width="12.453125" style="64" bestFit="1" customWidth="1"/>
    <col min="7" max="252" width="9.1796875" style="44"/>
    <col min="253" max="253" width="6.453125" style="44" customWidth="1"/>
    <col min="254" max="254" width="25.81640625" style="44" customWidth="1"/>
    <col min="255" max="255" width="5.453125" style="44" customWidth="1"/>
    <col min="256" max="262" width="10.7265625" style="44" customWidth="1"/>
    <col min="263" max="508" width="9.1796875" style="44"/>
    <col min="509" max="509" width="6.453125" style="44" customWidth="1"/>
    <col min="510" max="510" width="25.81640625" style="44" customWidth="1"/>
    <col min="511" max="511" width="5.453125" style="44" customWidth="1"/>
    <col min="512" max="518" width="10.7265625" style="44" customWidth="1"/>
    <col min="519" max="764" width="9.1796875" style="44"/>
    <col min="765" max="765" width="6.453125" style="44" customWidth="1"/>
    <col min="766" max="766" width="25.81640625" style="44" customWidth="1"/>
    <col min="767" max="767" width="5.453125" style="44" customWidth="1"/>
    <col min="768" max="774" width="10.7265625" style="44" customWidth="1"/>
    <col min="775" max="1020" width="9.1796875" style="44"/>
    <col min="1021" max="1021" width="6.453125" style="44" customWidth="1"/>
    <col min="1022" max="1022" width="25.81640625" style="44" customWidth="1"/>
    <col min="1023" max="1023" width="5.453125" style="44" customWidth="1"/>
    <col min="1024" max="1030" width="10.7265625" style="44" customWidth="1"/>
    <col min="1031" max="1276" width="9.1796875" style="44"/>
    <col min="1277" max="1277" width="6.453125" style="44" customWidth="1"/>
    <col min="1278" max="1278" width="25.81640625" style="44" customWidth="1"/>
    <col min="1279" max="1279" width="5.453125" style="44" customWidth="1"/>
    <col min="1280" max="1286" width="10.7265625" style="44" customWidth="1"/>
    <col min="1287" max="1532" width="9.1796875" style="44"/>
    <col min="1533" max="1533" width="6.453125" style="44" customWidth="1"/>
    <col min="1534" max="1534" width="25.81640625" style="44" customWidth="1"/>
    <col min="1535" max="1535" width="5.453125" style="44" customWidth="1"/>
    <col min="1536" max="1542" width="10.7265625" style="44" customWidth="1"/>
    <col min="1543" max="1788" width="9.1796875" style="44"/>
    <col min="1789" max="1789" width="6.453125" style="44" customWidth="1"/>
    <col min="1790" max="1790" width="25.81640625" style="44" customWidth="1"/>
    <col min="1791" max="1791" width="5.453125" style="44" customWidth="1"/>
    <col min="1792" max="1798" width="10.7265625" style="44" customWidth="1"/>
    <col min="1799" max="2044" width="9.1796875" style="44"/>
    <col min="2045" max="2045" width="6.453125" style="44" customWidth="1"/>
    <col min="2046" max="2046" width="25.81640625" style="44" customWidth="1"/>
    <col min="2047" max="2047" width="5.453125" style="44" customWidth="1"/>
    <col min="2048" max="2054" width="10.7265625" style="44" customWidth="1"/>
    <col min="2055" max="2300" width="9.1796875" style="44"/>
    <col min="2301" max="2301" width="6.453125" style="44" customWidth="1"/>
    <col min="2302" max="2302" width="25.81640625" style="44" customWidth="1"/>
    <col min="2303" max="2303" width="5.453125" style="44" customWidth="1"/>
    <col min="2304" max="2310" width="10.7265625" style="44" customWidth="1"/>
    <col min="2311" max="2556" width="9.1796875" style="44"/>
    <col min="2557" max="2557" width="6.453125" style="44" customWidth="1"/>
    <col min="2558" max="2558" width="25.81640625" style="44" customWidth="1"/>
    <col min="2559" max="2559" width="5.453125" style="44" customWidth="1"/>
    <col min="2560" max="2566" width="10.7265625" style="44" customWidth="1"/>
    <col min="2567" max="2812" width="9.1796875" style="44"/>
    <col min="2813" max="2813" width="6.453125" style="44" customWidth="1"/>
    <col min="2814" max="2814" width="25.81640625" style="44" customWidth="1"/>
    <col min="2815" max="2815" width="5.453125" style="44" customWidth="1"/>
    <col min="2816" max="2822" width="10.7265625" style="44" customWidth="1"/>
    <col min="2823" max="3068" width="9.1796875" style="44"/>
    <col min="3069" max="3069" width="6.453125" style="44" customWidth="1"/>
    <col min="3070" max="3070" width="25.81640625" style="44" customWidth="1"/>
    <col min="3071" max="3071" width="5.453125" style="44" customWidth="1"/>
    <col min="3072" max="3078" width="10.7265625" style="44" customWidth="1"/>
    <col min="3079" max="3324" width="9.1796875" style="44"/>
    <col min="3325" max="3325" width="6.453125" style="44" customWidth="1"/>
    <col min="3326" max="3326" width="25.81640625" style="44" customWidth="1"/>
    <col min="3327" max="3327" width="5.453125" style="44" customWidth="1"/>
    <col min="3328" max="3334" width="10.7265625" style="44" customWidth="1"/>
    <col min="3335" max="3580" width="9.1796875" style="44"/>
    <col min="3581" max="3581" width="6.453125" style="44" customWidth="1"/>
    <col min="3582" max="3582" width="25.81640625" style="44" customWidth="1"/>
    <col min="3583" max="3583" width="5.453125" style="44" customWidth="1"/>
    <col min="3584" max="3590" width="10.7265625" style="44" customWidth="1"/>
    <col min="3591" max="3836" width="9.1796875" style="44"/>
    <col min="3837" max="3837" width="6.453125" style="44" customWidth="1"/>
    <col min="3838" max="3838" width="25.81640625" style="44" customWidth="1"/>
    <col min="3839" max="3839" width="5.453125" style="44" customWidth="1"/>
    <col min="3840" max="3846" width="10.7265625" style="44" customWidth="1"/>
    <col min="3847" max="4092" width="9.1796875" style="44"/>
    <col min="4093" max="4093" width="6.453125" style="44" customWidth="1"/>
    <col min="4094" max="4094" width="25.81640625" style="44" customWidth="1"/>
    <col min="4095" max="4095" width="5.453125" style="44" customWidth="1"/>
    <col min="4096" max="4102" width="10.7265625" style="44" customWidth="1"/>
    <col min="4103" max="4348" width="9.1796875" style="44"/>
    <col min="4349" max="4349" width="6.453125" style="44" customWidth="1"/>
    <col min="4350" max="4350" width="25.81640625" style="44" customWidth="1"/>
    <col min="4351" max="4351" width="5.453125" style="44" customWidth="1"/>
    <col min="4352" max="4358" width="10.7265625" style="44" customWidth="1"/>
    <col min="4359" max="4604" width="9.1796875" style="44"/>
    <col min="4605" max="4605" width="6.453125" style="44" customWidth="1"/>
    <col min="4606" max="4606" width="25.81640625" style="44" customWidth="1"/>
    <col min="4607" max="4607" width="5.453125" style="44" customWidth="1"/>
    <col min="4608" max="4614" width="10.7265625" style="44" customWidth="1"/>
    <col min="4615" max="4860" width="9.1796875" style="44"/>
    <col min="4861" max="4861" width="6.453125" style="44" customWidth="1"/>
    <col min="4862" max="4862" width="25.81640625" style="44" customWidth="1"/>
    <col min="4863" max="4863" width="5.453125" style="44" customWidth="1"/>
    <col min="4864" max="4870" width="10.7265625" style="44" customWidth="1"/>
    <col min="4871" max="5116" width="9.1796875" style="44"/>
    <col min="5117" max="5117" width="6.453125" style="44" customWidth="1"/>
    <col min="5118" max="5118" width="25.81640625" style="44" customWidth="1"/>
    <col min="5119" max="5119" width="5.453125" style="44" customWidth="1"/>
    <col min="5120" max="5126" width="10.7265625" style="44" customWidth="1"/>
    <col min="5127" max="5372" width="9.1796875" style="44"/>
    <col min="5373" max="5373" width="6.453125" style="44" customWidth="1"/>
    <col min="5374" max="5374" width="25.81640625" style="44" customWidth="1"/>
    <col min="5375" max="5375" width="5.453125" style="44" customWidth="1"/>
    <col min="5376" max="5382" width="10.7265625" style="44" customWidth="1"/>
    <col min="5383" max="5628" width="9.1796875" style="44"/>
    <col min="5629" max="5629" width="6.453125" style="44" customWidth="1"/>
    <col min="5630" max="5630" width="25.81640625" style="44" customWidth="1"/>
    <col min="5631" max="5631" width="5.453125" style="44" customWidth="1"/>
    <col min="5632" max="5638" width="10.7265625" style="44" customWidth="1"/>
    <col min="5639" max="5884" width="9.1796875" style="44"/>
    <col min="5885" max="5885" width="6.453125" style="44" customWidth="1"/>
    <col min="5886" max="5886" width="25.81640625" style="44" customWidth="1"/>
    <col min="5887" max="5887" width="5.453125" style="44" customWidth="1"/>
    <col min="5888" max="5894" width="10.7265625" style="44" customWidth="1"/>
    <col min="5895" max="6140" width="9.1796875" style="44"/>
    <col min="6141" max="6141" width="6.453125" style="44" customWidth="1"/>
    <col min="6142" max="6142" width="25.81640625" style="44" customWidth="1"/>
    <col min="6143" max="6143" width="5.453125" style="44" customWidth="1"/>
    <col min="6144" max="6150" width="10.7265625" style="44" customWidth="1"/>
    <col min="6151" max="6396" width="9.1796875" style="44"/>
    <col min="6397" max="6397" width="6.453125" style="44" customWidth="1"/>
    <col min="6398" max="6398" width="25.81640625" style="44" customWidth="1"/>
    <col min="6399" max="6399" width="5.453125" style="44" customWidth="1"/>
    <col min="6400" max="6406" width="10.7265625" style="44" customWidth="1"/>
    <col min="6407" max="6652" width="9.1796875" style="44"/>
    <col min="6653" max="6653" width="6.453125" style="44" customWidth="1"/>
    <col min="6654" max="6654" width="25.81640625" style="44" customWidth="1"/>
    <col min="6655" max="6655" width="5.453125" style="44" customWidth="1"/>
    <col min="6656" max="6662" width="10.7265625" style="44" customWidth="1"/>
    <col min="6663" max="6908" width="9.1796875" style="44"/>
    <col min="6909" max="6909" width="6.453125" style="44" customWidth="1"/>
    <col min="6910" max="6910" width="25.81640625" style="44" customWidth="1"/>
    <col min="6911" max="6911" width="5.453125" style="44" customWidth="1"/>
    <col min="6912" max="6918" width="10.7265625" style="44" customWidth="1"/>
    <col min="6919" max="7164" width="9.1796875" style="44"/>
    <col min="7165" max="7165" width="6.453125" style="44" customWidth="1"/>
    <col min="7166" max="7166" width="25.81640625" style="44" customWidth="1"/>
    <col min="7167" max="7167" width="5.453125" style="44" customWidth="1"/>
    <col min="7168" max="7174" width="10.7265625" style="44" customWidth="1"/>
    <col min="7175" max="7420" width="9.1796875" style="44"/>
    <col min="7421" max="7421" width="6.453125" style="44" customWidth="1"/>
    <col min="7422" max="7422" width="25.81640625" style="44" customWidth="1"/>
    <col min="7423" max="7423" width="5.453125" style="44" customWidth="1"/>
    <col min="7424" max="7430" width="10.7265625" style="44" customWidth="1"/>
    <col min="7431" max="7676" width="9.1796875" style="44"/>
    <col min="7677" max="7677" width="6.453125" style="44" customWidth="1"/>
    <col min="7678" max="7678" width="25.81640625" style="44" customWidth="1"/>
    <col min="7679" max="7679" width="5.453125" style="44" customWidth="1"/>
    <col min="7680" max="7686" width="10.7265625" style="44" customWidth="1"/>
    <col min="7687" max="7932" width="9.1796875" style="44"/>
    <col min="7933" max="7933" width="6.453125" style="44" customWidth="1"/>
    <col min="7934" max="7934" width="25.81640625" style="44" customWidth="1"/>
    <col min="7935" max="7935" width="5.453125" style="44" customWidth="1"/>
    <col min="7936" max="7942" width="10.7265625" style="44" customWidth="1"/>
    <col min="7943" max="8188" width="9.1796875" style="44"/>
    <col min="8189" max="8189" width="6.453125" style="44" customWidth="1"/>
    <col min="8190" max="8190" width="25.81640625" style="44" customWidth="1"/>
    <col min="8191" max="8191" width="5.453125" style="44" customWidth="1"/>
    <col min="8192" max="8198" width="10.7265625" style="44" customWidth="1"/>
    <col min="8199" max="8444" width="9.1796875" style="44"/>
    <col min="8445" max="8445" width="6.453125" style="44" customWidth="1"/>
    <col min="8446" max="8446" width="25.81640625" style="44" customWidth="1"/>
    <col min="8447" max="8447" width="5.453125" style="44" customWidth="1"/>
    <col min="8448" max="8454" width="10.7265625" style="44" customWidth="1"/>
    <col min="8455" max="8700" width="9.1796875" style="44"/>
    <col min="8701" max="8701" width="6.453125" style="44" customWidth="1"/>
    <col min="8702" max="8702" width="25.81640625" style="44" customWidth="1"/>
    <col min="8703" max="8703" width="5.453125" style="44" customWidth="1"/>
    <col min="8704" max="8710" width="10.7265625" style="44" customWidth="1"/>
    <col min="8711" max="8956" width="9.1796875" style="44"/>
    <col min="8957" max="8957" width="6.453125" style="44" customWidth="1"/>
    <col min="8958" max="8958" width="25.81640625" style="44" customWidth="1"/>
    <col min="8959" max="8959" width="5.453125" style="44" customWidth="1"/>
    <col min="8960" max="8966" width="10.7265625" style="44" customWidth="1"/>
    <col min="8967" max="9212" width="9.1796875" style="44"/>
    <col min="9213" max="9213" width="6.453125" style="44" customWidth="1"/>
    <col min="9214" max="9214" width="25.81640625" style="44" customWidth="1"/>
    <col min="9215" max="9215" width="5.453125" style="44" customWidth="1"/>
    <col min="9216" max="9222" width="10.7265625" style="44" customWidth="1"/>
    <col min="9223" max="9468" width="9.1796875" style="44"/>
    <col min="9469" max="9469" width="6.453125" style="44" customWidth="1"/>
    <col min="9470" max="9470" width="25.81640625" style="44" customWidth="1"/>
    <col min="9471" max="9471" width="5.453125" style="44" customWidth="1"/>
    <col min="9472" max="9478" width="10.7265625" style="44" customWidth="1"/>
    <col min="9479" max="9724" width="9.1796875" style="44"/>
    <col min="9725" max="9725" width="6.453125" style="44" customWidth="1"/>
    <col min="9726" max="9726" width="25.81640625" style="44" customWidth="1"/>
    <col min="9727" max="9727" width="5.453125" style="44" customWidth="1"/>
    <col min="9728" max="9734" width="10.7265625" style="44" customWidth="1"/>
    <col min="9735" max="9980" width="9.1796875" style="44"/>
    <col min="9981" max="9981" width="6.453125" style="44" customWidth="1"/>
    <col min="9982" max="9982" width="25.81640625" style="44" customWidth="1"/>
    <col min="9983" max="9983" width="5.453125" style="44" customWidth="1"/>
    <col min="9984" max="9990" width="10.7265625" style="44" customWidth="1"/>
    <col min="9991" max="10236" width="9.1796875" style="44"/>
    <col min="10237" max="10237" width="6.453125" style="44" customWidth="1"/>
    <col min="10238" max="10238" width="25.81640625" style="44" customWidth="1"/>
    <col min="10239" max="10239" width="5.453125" style="44" customWidth="1"/>
    <col min="10240" max="10246" width="10.7265625" style="44" customWidth="1"/>
    <col min="10247" max="10492" width="9.1796875" style="44"/>
    <col min="10493" max="10493" width="6.453125" style="44" customWidth="1"/>
    <col min="10494" max="10494" width="25.81640625" style="44" customWidth="1"/>
    <col min="10495" max="10495" width="5.453125" style="44" customWidth="1"/>
    <col min="10496" max="10502" width="10.7265625" style="44" customWidth="1"/>
    <col min="10503" max="10748" width="9.1796875" style="44"/>
    <col min="10749" max="10749" width="6.453125" style="44" customWidth="1"/>
    <col min="10750" max="10750" width="25.81640625" style="44" customWidth="1"/>
    <col min="10751" max="10751" width="5.453125" style="44" customWidth="1"/>
    <col min="10752" max="10758" width="10.7265625" style="44" customWidth="1"/>
    <col min="10759" max="11004" width="9.1796875" style="44"/>
    <col min="11005" max="11005" width="6.453125" style="44" customWidth="1"/>
    <col min="11006" max="11006" width="25.81640625" style="44" customWidth="1"/>
    <col min="11007" max="11007" width="5.453125" style="44" customWidth="1"/>
    <col min="11008" max="11014" width="10.7265625" style="44" customWidth="1"/>
    <col min="11015" max="11260" width="9.1796875" style="44"/>
    <col min="11261" max="11261" width="6.453125" style="44" customWidth="1"/>
    <col min="11262" max="11262" width="25.81640625" style="44" customWidth="1"/>
    <col min="11263" max="11263" width="5.453125" style="44" customWidth="1"/>
    <col min="11264" max="11270" width="10.7265625" style="44" customWidth="1"/>
    <col min="11271" max="11516" width="9.1796875" style="44"/>
    <col min="11517" max="11517" width="6.453125" style="44" customWidth="1"/>
    <col min="11518" max="11518" width="25.81640625" style="44" customWidth="1"/>
    <col min="11519" max="11519" width="5.453125" style="44" customWidth="1"/>
    <col min="11520" max="11526" width="10.7265625" style="44" customWidth="1"/>
    <col min="11527" max="11772" width="9.1796875" style="44"/>
    <col min="11773" max="11773" width="6.453125" style="44" customWidth="1"/>
    <col min="11774" max="11774" width="25.81640625" style="44" customWidth="1"/>
    <col min="11775" max="11775" width="5.453125" style="44" customWidth="1"/>
    <col min="11776" max="11782" width="10.7265625" style="44" customWidth="1"/>
    <col min="11783" max="12028" width="9.1796875" style="44"/>
    <col min="12029" max="12029" width="6.453125" style="44" customWidth="1"/>
    <col min="12030" max="12030" width="25.81640625" style="44" customWidth="1"/>
    <col min="12031" max="12031" width="5.453125" style="44" customWidth="1"/>
    <col min="12032" max="12038" width="10.7265625" style="44" customWidth="1"/>
    <col min="12039" max="12284" width="9.1796875" style="44"/>
    <col min="12285" max="12285" width="6.453125" style="44" customWidth="1"/>
    <col min="12286" max="12286" width="25.81640625" style="44" customWidth="1"/>
    <col min="12287" max="12287" width="5.453125" style="44" customWidth="1"/>
    <col min="12288" max="12294" width="10.7265625" style="44" customWidth="1"/>
    <col min="12295" max="12540" width="9.1796875" style="44"/>
    <col min="12541" max="12541" width="6.453125" style="44" customWidth="1"/>
    <col min="12542" max="12542" width="25.81640625" style="44" customWidth="1"/>
    <col min="12543" max="12543" width="5.453125" style="44" customWidth="1"/>
    <col min="12544" max="12550" width="10.7265625" style="44" customWidth="1"/>
    <col min="12551" max="12796" width="9.1796875" style="44"/>
    <col min="12797" max="12797" width="6.453125" style="44" customWidth="1"/>
    <col min="12798" max="12798" width="25.81640625" style="44" customWidth="1"/>
    <col min="12799" max="12799" width="5.453125" style="44" customWidth="1"/>
    <col min="12800" max="12806" width="10.7265625" style="44" customWidth="1"/>
    <col min="12807" max="13052" width="9.1796875" style="44"/>
    <col min="13053" max="13053" width="6.453125" style="44" customWidth="1"/>
    <col min="13054" max="13054" width="25.81640625" style="44" customWidth="1"/>
    <col min="13055" max="13055" width="5.453125" style="44" customWidth="1"/>
    <col min="13056" max="13062" width="10.7265625" style="44" customWidth="1"/>
    <col min="13063" max="13308" width="9.1796875" style="44"/>
    <col min="13309" max="13309" width="6.453125" style="44" customWidth="1"/>
    <col min="13310" max="13310" width="25.81640625" style="44" customWidth="1"/>
    <col min="13311" max="13311" width="5.453125" style="44" customWidth="1"/>
    <col min="13312" max="13318" width="10.7265625" style="44" customWidth="1"/>
    <col min="13319" max="13564" width="9.1796875" style="44"/>
    <col min="13565" max="13565" width="6.453125" style="44" customWidth="1"/>
    <col min="13566" max="13566" width="25.81640625" style="44" customWidth="1"/>
    <col min="13567" max="13567" width="5.453125" style="44" customWidth="1"/>
    <col min="13568" max="13574" width="10.7265625" style="44" customWidth="1"/>
    <col min="13575" max="13820" width="9.1796875" style="44"/>
    <col min="13821" max="13821" width="6.453125" style="44" customWidth="1"/>
    <col min="13822" max="13822" width="25.81640625" style="44" customWidth="1"/>
    <col min="13823" max="13823" width="5.453125" style="44" customWidth="1"/>
    <col min="13824" max="13830" width="10.7265625" style="44" customWidth="1"/>
    <col min="13831" max="14076" width="9.1796875" style="44"/>
    <col min="14077" max="14077" width="6.453125" style="44" customWidth="1"/>
    <col min="14078" max="14078" width="25.81640625" style="44" customWidth="1"/>
    <col min="14079" max="14079" width="5.453125" style="44" customWidth="1"/>
    <col min="14080" max="14086" width="10.7265625" style="44" customWidth="1"/>
    <col min="14087" max="14332" width="9.1796875" style="44"/>
    <col min="14333" max="14333" width="6.453125" style="44" customWidth="1"/>
    <col min="14334" max="14334" width="25.81640625" style="44" customWidth="1"/>
    <col min="14335" max="14335" width="5.453125" style="44" customWidth="1"/>
    <col min="14336" max="14342" width="10.7265625" style="44" customWidth="1"/>
    <col min="14343" max="14588" width="9.1796875" style="44"/>
    <col min="14589" max="14589" width="6.453125" style="44" customWidth="1"/>
    <col min="14590" max="14590" width="25.81640625" style="44" customWidth="1"/>
    <col min="14591" max="14591" width="5.453125" style="44" customWidth="1"/>
    <col min="14592" max="14598" width="10.7265625" style="44" customWidth="1"/>
    <col min="14599" max="14844" width="9.1796875" style="44"/>
    <col min="14845" max="14845" width="6.453125" style="44" customWidth="1"/>
    <col min="14846" max="14846" width="25.81640625" style="44" customWidth="1"/>
    <col min="14847" max="14847" width="5.453125" style="44" customWidth="1"/>
    <col min="14848" max="14854" width="10.7265625" style="44" customWidth="1"/>
    <col min="14855" max="15100" width="9.1796875" style="44"/>
    <col min="15101" max="15101" width="6.453125" style="44" customWidth="1"/>
    <col min="15102" max="15102" width="25.81640625" style="44" customWidth="1"/>
    <col min="15103" max="15103" width="5.453125" style="44" customWidth="1"/>
    <col min="15104" max="15110" width="10.7265625" style="44" customWidth="1"/>
    <col min="15111" max="15356" width="9.1796875" style="44"/>
    <col min="15357" max="15357" width="6.453125" style="44" customWidth="1"/>
    <col min="15358" max="15358" width="25.81640625" style="44" customWidth="1"/>
    <col min="15359" max="15359" width="5.453125" style="44" customWidth="1"/>
    <col min="15360" max="15366" width="10.7265625" style="44" customWidth="1"/>
    <col min="15367" max="15612" width="9.1796875" style="44"/>
    <col min="15613" max="15613" width="6.453125" style="44" customWidth="1"/>
    <col min="15614" max="15614" width="25.81640625" style="44" customWidth="1"/>
    <col min="15615" max="15615" width="5.453125" style="44" customWidth="1"/>
    <col min="15616" max="15622" width="10.7265625" style="44" customWidth="1"/>
    <col min="15623" max="15868" width="9.1796875" style="44"/>
    <col min="15869" max="15869" width="6.453125" style="44" customWidth="1"/>
    <col min="15870" max="15870" width="25.81640625" style="44" customWidth="1"/>
    <col min="15871" max="15871" width="5.453125" style="44" customWidth="1"/>
    <col min="15872" max="15878" width="10.7265625" style="44" customWidth="1"/>
    <col min="15879" max="16124" width="9.1796875" style="44"/>
    <col min="16125" max="16125" width="6.453125" style="44" customWidth="1"/>
    <col min="16126" max="16126" width="25.81640625" style="44" customWidth="1"/>
    <col min="16127" max="16127" width="5.453125" style="44" customWidth="1"/>
    <col min="16128" max="16134" width="10.7265625" style="44" customWidth="1"/>
    <col min="16135" max="16384" width="9.1796875" style="44"/>
  </cols>
  <sheetData>
    <row r="1" spans="1:6" ht="15.5" x14ac:dyDescent="0.35">
      <c r="A1" s="537" t="str">
        <f>BASE!A1</f>
        <v>PREFEITURA MUNICIPAL DE BOM CONSELHO</v>
      </c>
      <c r="B1" s="538"/>
      <c r="C1" s="538"/>
      <c r="D1" s="538"/>
      <c r="E1" s="538"/>
      <c r="F1" s="539"/>
    </row>
    <row r="2" spans="1:6" ht="12.75" customHeight="1" x14ac:dyDescent="0.35">
      <c r="A2" s="550"/>
      <c r="B2" s="551"/>
      <c r="C2" s="551"/>
      <c r="D2" s="551"/>
      <c r="E2" s="551"/>
      <c r="F2" s="552"/>
    </row>
    <row r="3" spans="1:6" ht="15.5" x14ac:dyDescent="0.35">
      <c r="A3" s="540" t="s">
        <v>482</v>
      </c>
      <c r="B3" s="541"/>
      <c r="C3" s="541"/>
      <c r="D3" s="541"/>
      <c r="E3" s="541"/>
      <c r="F3" s="542"/>
    </row>
    <row r="4" spans="1:6" ht="12.75" customHeight="1" x14ac:dyDescent="0.25">
      <c r="A4" s="556"/>
      <c r="B4" s="557"/>
      <c r="C4" s="557"/>
      <c r="D4" s="557"/>
      <c r="E4" s="557"/>
      <c r="F4" s="558"/>
    </row>
    <row r="5" spans="1:6" ht="12.75" customHeight="1" x14ac:dyDescent="0.25">
      <c r="A5" s="559"/>
      <c r="B5" s="560"/>
      <c r="C5" s="560"/>
      <c r="D5" s="560"/>
      <c r="E5" s="560"/>
      <c r="F5" s="561"/>
    </row>
    <row r="6" spans="1:6" ht="13" x14ac:dyDescent="0.3">
      <c r="A6" s="81" t="s">
        <v>483</v>
      </c>
      <c r="B6" s="548" t="str">
        <f>BASE!B6</f>
        <v>EXECUÇÃO DOS SERVIÇOS DE CONSTRUÇÃO DE BARRAGEM DE TERRA NO DISTRITO DE LOGRADOURO DOS LEOS</v>
      </c>
      <c r="C6" s="546"/>
      <c r="D6" s="546"/>
      <c r="E6" s="546"/>
      <c r="F6" s="549"/>
    </row>
    <row r="7" spans="1:6" ht="13" x14ac:dyDescent="0.3">
      <c r="A7" s="82" t="s">
        <v>4</v>
      </c>
      <c r="B7" s="546" t="str">
        <f>BASE!B7</f>
        <v>DISTRITO DE LOGRADOURO DOS LEÕES, BOM CONSELHO - PE</v>
      </c>
      <c r="C7" s="546"/>
      <c r="D7" s="546"/>
      <c r="E7" s="546"/>
      <c r="F7" s="547"/>
    </row>
    <row r="8" spans="1:6" ht="13" x14ac:dyDescent="0.3">
      <c r="A8" s="553"/>
      <c r="B8" s="554"/>
      <c r="C8" s="554"/>
      <c r="D8" s="554"/>
      <c r="E8" s="554"/>
      <c r="F8" s="555"/>
    </row>
    <row r="9" spans="1:6" ht="13.5" thickBot="1" x14ac:dyDescent="0.35">
      <c r="A9" s="83" t="s">
        <v>5</v>
      </c>
      <c r="B9" s="83" t="s">
        <v>484</v>
      </c>
      <c r="C9" s="83"/>
      <c r="D9" s="84" t="s">
        <v>485</v>
      </c>
      <c r="E9" s="84" t="s">
        <v>486</v>
      </c>
      <c r="F9" s="84" t="s">
        <v>487</v>
      </c>
    </row>
    <row r="10" spans="1:6" ht="13.5" thickTop="1" x14ac:dyDescent="0.3">
      <c r="A10" s="543" t="s">
        <v>8</v>
      </c>
      <c r="B10" s="544" t="str">
        <f>BASE!D11</f>
        <v>INSTALAÇÕES PROVISORIAS</v>
      </c>
      <c r="C10" s="85" t="s">
        <v>488</v>
      </c>
      <c r="D10" s="86">
        <f>D11*$F10</f>
        <v>24897.8675</v>
      </c>
      <c r="E10" s="86">
        <f>E11*$F10</f>
        <v>20370.982499999998</v>
      </c>
      <c r="F10" s="86">
        <f>BASE!I11</f>
        <v>45268.85</v>
      </c>
    </row>
    <row r="11" spans="1:6" ht="13" x14ac:dyDescent="0.3">
      <c r="A11" s="535"/>
      <c r="B11" s="545"/>
      <c r="C11" s="87" t="s">
        <v>489</v>
      </c>
      <c r="D11" s="88">
        <v>0.55000000000000004</v>
      </c>
      <c r="E11" s="88">
        <v>0.45</v>
      </c>
      <c r="F11" s="89">
        <f>SUM(D11:E11)</f>
        <v>1</v>
      </c>
    </row>
    <row r="12" spans="1:6" ht="13" x14ac:dyDescent="0.3">
      <c r="A12" s="536" t="s">
        <v>10</v>
      </c>
      <c r="B12" s="530" t="str">
        <f>BASE!D20</f>
        <v xml:space="preserve">CONSTRUÇÃO DA BARRAGEM </v>
      </c>
      <c r="C12" s="90" t="s">
        <v>488</v>
      </c>
      <c r="D12" s="86">
        <f>D13*$F12</f>
        <v>259465.22499999998</v>
      </c>
      <c r="E12" s="86">
        <f>E13*$F12</f>
        <v>259465.22499999998</v>
      </c>
      <c r="F12" s="86">
        <f>BASE!I20</f>
        <v>518930.44999999995</v>
      </c>
    </row>
    <row r="13" spans="1:6" ht="13.5" thickBot="1" x14ac:dyDescent="0.35">
      <c r="A13" s="535"/>
      <c r="B13" s="531"/>
      <c r="C13" s="87" t="s">
        <v>489</v>
      </c>
      <c r="D13" s="88">
        <v>0.5</v>
      </c>
      <c r="E13" s="88">
        <v>0.5</v>
      </c>
      <c r="F13" s="89">
        <f>SUM(D13:E13)</f>
        <v>1</v>
      </c>
    </row>
    <row r="14" spans="1:6" ht="13.5" thickTop="1" x14ac:dyDescent="0.3">
      <c r="A14" s="532"/>
      <c r="B14" s="534" t="s">
        <v>487</v>
      </c>
      <c r="C14" s="91" t="s">
        <v>488</v>
      </c>
      <c r="D14" s="92">
        <f>SUM(D10+D12)</f>
        <v>284363.09249999997</v>
      </c>
      <c r="E14" s="92">
        <f>SUM(E10+E12)</f>
        <v>279836.20749999996</v>
      </c>
      <c r="F14" s="93">
        <f>SUM(D14:E14)</f>
        <v>564199.29999999993</v>
      </c>
    </row>
    <row r="15" spans="1:6" ht="13" x14ac:dyDescent="0.3">
      <c r="A15" s="533"/>
      <c r="B15" s="535"/>
      <c r="C15" s="87" t="s">
        <v>489</v>
      </c>
      <c r="D15" s="94">
        <f>D14/F14*100</f>
        <v>50.401177828473024</v>
      </c>
      <c r="E15" s="94">
        <f>E14/F14*100</f>
        <v>49.598822171526976</v>
      </c>
      <c r="F15" s="117">
        <f>SUM(D15:E15)</f>
        <v>100</v>
      </c>
    </row>
  </sheetData>
  <mergeCells count="13">
    <mergeCell ref="B12:B13"/>
    <mergeCell ref="A14:A15"/>
    <mergeCell ref="B14:B15"/>
    <mergeCell ref="A12:A13"/>
    <mergeCell ref="A1:F1"/>
    <mergeCell ref="A3:F3"/>
    <mergeCell ref="A10:A11"/>
    <mergeCell ref="B10:B11"/>
    <mergeCell ref="B7:F7"/>
    <mergeCell ref="B6:F6"/>
    <mergeCell ref="A2:F2"/>
    <mergeCell ref="A8:F8"/>
    <mergeCell ref="A4:F5"/>
  </mergeCells>
  <pageMargins left="0.80113636363636365" right="0.22159090909090909" top="0.73295454545454541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D24"/>
  <sheetViews>
    <sheetView zoomScaleNormal="100" zoomScaleSheetLayoutView="100" workbookViewId="0">
      <selection activeCell="D35" sqref="D35"/>
    </sheetView>
  </sheetViews>
  <sheetFormatPr defaultColWidth="9.1796875" defaultRowHeight="14.5" x14ac:dyDescent="0.35"/>
  <cols>
    <col min="1" max="1" width="6.7265625" style="60" bestFit="1" customWidth="1"/>
    <col min="2" max="2" width="44.7265625" style="60" customWidth="1"/>
    <col min="3" max="4" width="10.7265625" style="60" customWidth="1"/>
    <col min="5" max="16384" width="9.1796875" style="60"/>
  </cols>
  <sheetData>
    <row r="1" spans="1:4" ht="15.5" x14ac:dyDescent="0.35">
      <c r="A1" s="571" t="str">
        <f>BASE!A1</f>
        <v>PREFEITURA MUNICIPAL DE BOM CONSELHO</v>
      </c>
      <c r="B1" s="572"/>
      <c r="C1" s="572"/>
      <c r="D1" s="573"/>
    </row>
    <row r="2" spans="1:4" ht="12.75" customHeight="1" x14ac:dyDescent="0.35">
      <c r="A2" s="95"/>
      <c r="B2" s="96"/>
      <c r="C2" s="96"/>
      <c r="D2" s="97"/>
    </row>
    <row r="3" spans="1:4" ht="15.5" x14ac:dyDescent="0.35">
      <c r="A3" s="565" t="s">
        <v>490</v>
      </c>
      <c r="B3" s="566"/>
      <c r="C3" s="566"/>
      <c r="D3" s="567"/>
    </row>
    <row r="4" spans="1:4" ht="12.75" customHeight="1" x14ac:dyDescent="0.35">
      <c r="A4" s="579"/>
      <c r="B4" s="580"/>
      <c r="C4" s="580"/>
      <c r="D4" s="581"/>
    </row>
    <row r="5" spans="1:4" ht="12.75" customHeight="1" x14ac:dyDescent="0.35">
      <c r="A5" s="582"/>
      <c r="B5" s="583"/>
      <c r="C5" s="583"/>
      <c r="D5" s="584"/>
    </row>
    <row r="6" spans="1:4" ht="25" customHeight="1" x14ac:dyDescent="0.35">
      <c r="A6" s="98" t="str">
        <f>[7]Base!A4</f>
        <v>OBRA:</v>
      </c>
      <c r="B6" s="574" t="str">
        <f>BASE!B6</f>
        <v>EXECUÇÃO DOS SERVIÇOS DE CONSTRUÇÃO DE BARRAGEM DE TERRA NO DISTRITO DE LOGRADOURO DOS LEOS</v>
      </c>
      <c r="C6" s="574"/>
      <c r="D6" s="575"/>
    </row>
    <row r="7" spans="1:4" ht="12.75" customHeight="1" x14ac:dyDescent="0.35">
      <c r="A7" s="99" t="str">
        <f>[7]Base!A5</f>
        <v>LOCAL:</v>
      </c>
      <c r="B7" s="100" t="str">
        <f>BASE!B7</f>
        <v>DISTRITO DE LOGRADOURO DOS LEÕES, BOM CONSELHO - PE</v>
      </c>
      <c r="C7" s="101"/>
      <c r="D7" s="102"/>
    </row>
    <row r="8" spans="1:4" ht="12.75" customHeight="1" x14ac:dyDescent="0.45">
      <c r="A8" s="585"/>
      <c r="B8" s="586"/>
      <c r="C8" s="586"/>
      <c r="D8" s="587"/>
    </row>
    <row r="9" spans="1:4" ht="15.5" x14ac:dyDescent="0.35">
      <c r="A9" s="103" t="s">
        <v>5</v>
      </c>
      <c r="B9" s="103" t="s">
        <v>491</v>
      </c>
      <c r="C9" s="103"/>
      <c r="D9" s="103" t="s">
        <v>489</v>
      </c>
    </row>
    <row r="10" spans="1:4" ht="15.5" x14ac:dyDescent="0.35">
      <c r="A10" s="104">
        <v>1</v>
      </c>
      <c r="B10" s="105" t="s">
        <v>492</v>
      </c>
      <c r="C10" s="106"/>
      <c r="D10" s="107">
        <v>3.8</v>
      </c>
    </row>
    <row r="11" spans="1:4" ht="15.5" x14ac:dyDescent="0.35">
      <c r="A11" s="104">
        <v>2</v>
      </c>
      <c r="B11" s="105" t="s">
        <v>493</v>
      </c>
      <c r="C11" s="106"/>
      <c r="D11" s="107">
        <v>0.32</v>
      </c>
    </row>
    <row r="12" spans="1:4" ht="15.5" x14ac:dyDescent="0.35">
      <c r="A12" s="104">
        <v>3</v>
      </c>
      <c r="B12" s="105" t="s">
        <v>494</v>
      </c>
      <c r="C12" s="106"/>
      <c r="D12" s="107">
        <v>0.5</v>
      </c>
    </row>
    <row r="13" spans="1:4" ht="15.5" x14ac:dyDescent="0.35">
      <c r="A13" s="104">
        <v>4</v>
      </c>
      <c r="B13" s="105" t="s">
        <v>495</v>
      </c>
      <c r="C13" s="106"/>
      <c r="D13" s="107">
        <v>1.02</v>
      </c>
    </row>
    <row r="14" spans="1:4" ht="15.5" x14ac:dyDescent="0.35">
      <c r="A14" s="104">
        <v>5</v>
      </c>
      <c r="B14" s="105" t="s">
        <v>496</v>
      </c>
      <c r="C14" s="106"/>
      <c r="D14" s="107">
        <v>6.64</v>
      </c>
    </row>
    <row r="15" spans="1:4" ht="15.5" x14ac:dyDescent="0.35">
      <c r="A15" s="104">
        <v>6</v>
      </c>
      <c r="B15" s="105" t="s">
        <v>497</v>
      </c>
      <c r="C15" s="106"/>
      <c r="D15" s="107">
        <f>SUM(C16:C19)</f>
        <v>10.65</v>
      </c>
    </row>
    <row r="16" spans="1:4" ht="15.5" x14ac:dyDescent="0.35">
      <c r="A16" s="104"/>
      <c r="B16" s="108" t="s">
        <v>498</v>
      </c>
      <c r="C16" s="109">
        <v>0.65</v>
      </c>
      <c r="D16" s="107"/>
    </row>
    <row r="17" spans="1:4" ht="15.5" x14ac:dyDescent="0.35">
      <c r="A17" s="104"/>
      <c r="B17" s="108" t="s">
        <v>499</v>
      </c>
      <c r="C17" s="109">
        <v>3</v>
      </c>
      <c r="D17" s="107"/>
    </row>
    <row r="18" spans="1:4" ht="15.5" x14ac:dyDescent="0.35">
      <c r="A18" s="104"/>
      <c r="B18" s="108" t="s">
        <v>500</v>
      </c>
      <c r="C18" s="109">
        <v>2.5</v>
      </c>
      <c r="D18" s="107"/>
    </row>
    <row r="19" spans="1:4" ht="15.5" x14ac:dyDescent="0.35">
      <c r="A19" s="104"/>
      <c r="B19" s="108" t="s">
        <v>501</v>
      </c>
      <c r="C19" s="109">
        <v>4.5</v>
      </c>
      <c r="D19" s="107"/>
    </row>
    <row r="20" spans="1:4" ht="15.5" x14ac:dyDescent="0.35">
      <c r="A20" s="576" t="s">
        <v>487</v>
      </c>
      <c r="B20" s="577"/>
      <c r="C20" s="578"/>
      <c r="D20" s="110">
        <f>((((1+(D10/100+D12/100+D11/100))*(1+D13/100)*(1+D14/100))/(1-D15/100))-1)*100</f>
        <v>26.138499198209296</v>
      </c>
    </row>
    <row r="21" spans="1:4" x14ac:dyDescent="0.35">
      <c r="A21" s="588" t="s">
        <v>502</v>
      </c>
      <c r="B21" s="589"/>
      <c r="C21" s="454"/>
      <c r="D21" s="455"/>
    </row>
    <row r="22" spans="1:4" x14ac:dyDescent="0.35">
      <c r="A22" s="568" t="s">
        <v>503</v>
      </c>
      <c r="B22" s="569"/>
      <c r="C22" s="569"/>
      <c r="D22" s="570"/>
    </row>
    <row r="23" spans="1:4" x14ac:dyDescent="0.35">
      <c r="A23" s="127"/>
      <c r="B23" s="128"/>
      <c r="C23" s="128"/>
      <c r="D23" s="129"/>
    </row>
    <row r="24" spans="1:4" s="126" customFormat="1" ht="25" customHeight="1" x14ac:dyDescent="0.3">
      <c r="A24" s="562" t="s">
        <v>504</v>
      </c>
      <c r="B24" s="563"/>
      <c r="C24" s="563"/>
      <c r="D24" s="564"/>
    </row>
  </sheetData>
  <mergeCells count="9">
    <mergeCell ref="A24:D24"/>
    <mergeCell ref="A3:D3"/>
    <mergeCell ref="A22:D22"/>
    <mergeCell ref="A1:D1"/>
    <mergeCell ref="B6:D6"/>
    <mergeCell ref="A20:C20"/>
    <mergeCell ref="A4:D5"/>
    <mergeCell ref="A8:D8"/>
    <mergeCell ref="A21:B21"/>
  </mergeCells>
  <pageMargins left="1.3321875000000001" right="1.2324999999999999" top="1.2333333333333334" bottom="0.78740157499999996" header="0.31496062000000002" footer="0.31496062000000002"/>
  <pageSetup paperSize="9" orientation="portrait" r:id="rId1"/>
  <headerFooter>
    <oddHeader xml:space="preserve">&amp;L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9"/>
  <dimension ref="A1:H28"/>
  <sheetViews>
    <sheetView view="pageBreakPreview" zoomScale="115" zoomScaleNormal="100" zoomScaleSheetLayoutView="115" workbookViewId="0">
      <selection activeCell="D35" sqref="D35"/>
    </sheetView>
  </sheetViews>
  <sheetFormatPr defaultColWidth="9.1796875" defaultRowHeight="14.5" x14ac:dyDescent="0.35"/>
  <cols>
    <col min="1" max="1" width="6.7265625" style="61" bestFit="1" customWidth="1"/>
    <col min="2" max="2" width="55.7265625" style="61" customWidth="1"/>
    <col min="3" max="3" width="13.7265625" style="61" customWidth="1"/>
    <col min="4" max="16384" width="9.1796875" style="61"/>
  </cols>
  <sheetData>
    <row r="1" spans="1:8" ht="15.75" customHeight="1" x14ac:dyDescent="0.35">
      <c r="A1" s="591" t="str">
        <f>BASE!A1</f>
        <v>PREFEITURA MUNICIPAL DE BOM CONSELHO</v>
      </c>
      <c r="B1" s="592"/>
      <c r="C1" s="593"/>
    </row>
    <row r="2" spans="1:8" ht="12.75" customHeight="1" x14ac:dyDescent="0.35">
      <c r="A2" s="608"/>
      <c r="B2" s="609"/>
      <c r="C2" s="610"/>
    </row>
    <row r="3" spans="1:8" s="62" customFormat="1" ht="15.5" x14ac:dyDescent="0.35">
      <c r="A3" s="594" t="s">
        <v>505</v>
      </c>
      <c r="B3" s="595"/>
      <c r="C3" s="596"/>
      <c r="D3" s="454"/>
      <c r="E3" s="454"/>
      <c r="F3" s="454"/>
      <c r="G3" s="454"/>
      <c r="H3" s="454"/>
    </row>
    <row r="4" spans="1:8" ht="12.75" customHeight="1" x14ac:dyDescent="0.35">
      <c r="A4" s="602"/>
      <c r="B4" s="603"/>
      <c r="C4" s="604"/>
    </row>
    <row r="5" spans="1:8" ht="12.75" customHeight="1" x14ac:dyDescent="0.35">
      <c r="A5" s="605"/>
      <c r="B5" s="606"/>
      <c r="C5" s="607"/>
    </row>
    <row r="6" spans="1:8" ht="25" customHeight="1" x14ac:dyDescent="0.35">
      <c r="A6" s="125" t="str">
        <f>[7]Base!A4</f>
        <v>OBRA:</v>
      </c>
      <c r="B6" s="597" t="str">
        <f>BASE!B6</f>
        <v>EXECUÇÃO DOS SERVIÇOS DE CONSTRUÇÃO DE BARRAGEM DE TERRA NO DISTRITO DE LOGRADOURO DOS LEOS</v>
      </c>
      <c r="C6" s="598"/>
    </row>
    <row r="7" spans="1:8" ht="12.75" customHeight="1" x14ac:dyDescent="0.35">
      <c r="A7" s="111" t="str">
        <f>[7]Base!A5</f>
        <v>LOCAL:</v>
      </c>
      <c r="B7" s="112" t="str">
        <f>BASE!B7</f>
        <v>DISTRITO DE LOGRADOURO DOS LEÕES, BOM CONSELHO - PE</v>
      </c>
      <c r="C7" s="113"/>
    </row>
    <row r="8" spans="1:8" ht="12.75" customHeight="1" x14ac:dyDescent="0.35">
      <c r="A8" s="591"/>
      <c r="B8" s="592"/>
      <c r="C8" s="593"/>
    </row>
    <row r="9" spans="1:8" ht="60" customHeight="1" x14ac:dyDescent="0.35">
      <c r="A9" s="599" t="s">
        <v>506</v>
      </c>
      <c r="B9" s="600"/>
      <c r="C9" s="601"/>
    </row>
    <row r="10" spans="1:8" ht="12.75" customHeight="1" x14ac:dyDescent="0.35">
      <c r="A10" s="114"/>
      <c r="B10" s="115"/>
      <c r="C10" s="116"/>
    </row>
    <row r="11" spans="1:8" ht="45" customHeight="1" x14ac:dyDescent="0.35">
      <c r="A11" s="599" t="s">
        <v>507</v>
      </c>
      <c r="B11" s="600"/>
      <c r="C11" s="601"/>
    </row>
    <row r="12" spans="1:8" ht="12.75" customHeight="1" x14ac:dyDescent="0.35">
      <c r="A12" s="114"/>
      <c r="B12" s="115"/>
      <c r="C12" s="116"/>
    </row>
    <row r="13" spans="1:8" ht="15.75" customHeight="1" x14ac:dyDescent="0.35">
      <c r="A13" s="599" t="s">
        <v>508</v>
      </c>
      <c r="B13" s="600"/>
      <c r="C13" s="601"/>
      <c r="H13" s="61">
        <f>SUM(H14)</f>
        <v>0</v>
      </c>
    </row>
    <row r="15" spans="1:8" x14ac:dyDescent="0.35">
      <c r="A15" s="590"/>
      <c r="B15" s="590"/>
      <c r="C15" s="590"/>
      <c r="H15" s="61">
        <f>SUM(H16:H25)</f>
        <v>0</v>
      </c>
    </row>
    <row r="24" spans="1:6" x14ac:dyDescent="0.35">
      <c r="C24" s="61" t="s">
        <v>509</v>
      </c>
    </row>
    <row r="25" spans="1:6" ht="15.5" x14ac:dyDescent="0.35">
      <c r="A25" s="61" t="s">
        <v>510</v>
      </c>
      <c r="B25" s="115"/>
      <c r="C25" s="116"/>
      <c r="F25" s="61">
        <v>14.75</v>
      </c>
    </row>
    <row r="28" spans="1:6" x14ac:dyDescent="0.35">
      <c r="F28" s="61">
        <v>62.39</v>
      </c>
    </row>
  </sheetData>
  <mergeCells count="10">
    <mergeCell ref="A15:C15"/>
    <mergeCell ref="A1:C1"/>
    <mergeCell ref="A3:C3"/>
    <mergeCell ref="B6:C6"/>
    <mergeCell ref="A9:C9"/>
    <mergeCell ref="A11:C11"/>
    <mergeCell ref="A13:C13"/>
    <mergeCell ref="A4:C5"/>
    <mergeCell ref="A2:C2"/>
    <mergeCell ref="A8:C8"/>
  </mergeCells>
  <pageMargins left="1.2604166666666667" right="0.511811024" top="1.375" bottom="0.78740157499999996" header="0.31496062000000002" footer="0.31496062000000002"/>
  <pageSetup paperSize="9" orientation="portrait" r:id="rId1"/>
  <headerFooter>
    <oddHeader xml:space="preserve">&amp;L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921A-94BC-4C47-84DB-1805ADD7B464}">
  <dimension ref="A1:P56"/>
  <sheetViews>
    <sheetView showZeros="0" view="pageBreakPreview" zoomScaleNormal="100" zoomScaleSheetLayoutView="100" zoomScalePageLayoutView="55" workbookViewId="0">
      <selection activeCell="D35" sqref="D35"/>
    </sheetView>
  </sheetViews>
  <sheetFormatPr defaultRowHeight="15" customHeight="1" x14ac:dyDescent="0.2"/>
  <cols>
    <col min="1" max="2" width="7.7265625" style="156" customWidth="1"/>
    <col min="3" max="3" width="0.81640625" style="156" customWidth="1"/>
    <col min="4" max="4" width="3.7265625" style="156" customWidth="1"/>
    <col min="5" max="5" width="23.7265625" style="156" customWidth="1"/>
    <col min="6" max="6" width="12.7265625" style="156" customWidth="1"/>
    <col min="7" max="8" width="8.7265625" style="156" customWidth="1"/>
    <col min="9" max="9" width="8.26953125" style="156" customWidth="1"/>
    <col min="10" max="10" width="8.7265625" style="156" customWidth="1"/>
    <col min="11" max="11" width="9.7265625" style="156" customWidth="1"/>
    <col min="12" max="12" width="10.7265625" style="156" customWidth="1"/>
    <col min="13" max="13" width="9.1796875" style="156"/>
    <col min="14" max="14" width="9.1796875" style="156" customWidth="1"/>
    <col min="15" max="256" width="9.1796875" style="156"/>
    <col min="257" max="258" width="7.7265625" style="156" customWidth="1"/>
    <col min="259" max="259" width="0.81640625" style="156" customWidth="1"/>
    <col min="260" max="260" width="3.7265625" style="156" customWidth="1"/>
    <col min="261" max="261" width="23.7265625" style="156" customWidth="1"/>
    <col min="262" max="262" width="12.7265625" style="156" customWidth="1"/>
    <col min="263" max="264" width="8.7265625" style="156" customWidth="1"/>
    <col min="265" max="265" width="8.26953125" style="156" customWidth="1"/>
    <col min="266" max="266" width="8.7265625" style="156" customWidth="1"/>
    <col min="267" max="267" width="9.7265625" style="156" customWidth="1"/>
    <col min="268" max="268" width="10.7265625" style="156" customWidth="1"/>
    <col min="269" max="512" width="9.1796875" style="156"/>
    <col min="513" max="514" width="7.7265625" style="156" customWidth="1"/>
    <col min="515" max="515" width="0.81640625" style="156" customWidth="1"/>
    <col min="516" max="516" width="3.7265625" style="156" customWidth="1"/>
    <col min="517" max="517" width="23.7265625" style="156" customWidth="1"/>
    <col min="518" max="518" width="12.7265625" style="156" customWidth="1"/>
    <col min="519" max="520" width="8.7265625" style="156" customWidth="1"/>
    <col min="521" max="521" width="8.26953125" style="156" customWidth="1"/>
    <col min="522" max="522" width="8.7265625" style="156" customWidth="1"/>
    <col min="523" max="523" width="9.7265625" style="156" customWidth="1"/>
    <col min="524" max="524" width="10.7265625" style="156" customWidth="1"/>
    <col min="525" max="768" width="9.1796875" style="156"/>
    <col min="769" max="770" width="7.7265625" style="156" customWidth="1"/>
    <col min="771" max="771" width="0.81640625" style="156" customWidth="1"/>
    <col min="772" max="772" width="3.7265625" style="156" customWidth="1"/>
    <col min="773" max="773" width="23.7265625" style="156" customWidth="1"/>
    <col min="774" max="774" width="12.7265625" style="156" customWidth="1"/>
    <col min="775" max="776" width="8.7265625" style="156" customWidth="1"/>
    <col min="777" max="777" width="8.26953125" style="156" customWidth="1"/>
    <col min="778" max="778" width="8.7265625" style="156" customWidth="1"/>
    <col min="779" max="779" width="9.7265625" style="156" customWidth="1"/>
    <col min="780" max="780" width="10.7265625" style="156" customWidth="1"/>
    <col min="781" max="1024" width="9.1796875" style="156"/>
    <col min="1025" max="1026" width="7.7265625" style="156" customWidth="1"/>
    <col min="1027" max="1027" width="0.81640625" style="156" customWidth="1"/>
    <col min="1028" max="1028" width="3.7265625" style="156" customWidth="1"/>
    <col min="1029" max="1029" width="23.7265625" style="156" customWidth="1"/>
    <col min="1030" max="1030" width="12.7265625" style="156" customWidth="1"/>
    <col min="1031" max="1032" width="8.7265625" style="156" customWidth="1"/>
    <col min="1033" max="1033" width="8.26953125" style="156" customWidth="1"/>
    <col min="1034" max="1034" width="8.7265625" style="156" customWidth="1"/>
    <col min="1035" max="1035" width="9.7265625" style="156" customWidth="1"/>
    <col min="1036" max="1036" width="10.7265625" style="156" customWidth="1"/>
    <col min="1037" max="1280" width="9.1796875" style="156"/>
    <col min="1281" max="1282" width="7.7265625" style="156" customWidth="1"/>
    <col min="1283" max="1283" width="0.81640625" style="156" customWidth="1"/>
    <col min="1284" max="1284" width="3.7265625" style="156" customWidth="1"/>
    <col min="1285" max="1285" width="23.7265625" style="156" customWidth="1"/>
    <col min="1286" max="1286" width="12.7265625" style="156" customWidth="1"/>
    <col min="1287" max="1288" width="8.7265625" style="156" customWidth="1"/>
    <col min="1289" max="1289" width="8.26953125" style="156" customWidth="1"/>
    <col min="1290" max="1290" width="8.7265625" style="156" customWidth="1"/>
    <col min="1291" max="1291" width="9.7265625" style="156" customWidth="1"/>
    <col min="1292" max="1292" width="10.7265625" style="156" customWidth="1"/>
    <col min="1293" max="1536" width="9.1796875" style="156"/>
    <col min="1537" max="1538" width="7.7265625" style="156" customWidth="1"/>
    <col min="1539" max="1539" width="0.81640625" style="156" customWidth="1"/>
    <col min="1540" max="1540" width="3.7265625" style="156" customWidth="1"/>
    <col min="1541" max="1541" width="23.7265625" style="156" customWidth="1"/>
    <col min="1542" max="1542" width="12.7265625" style="156" customWidth="1"/>
    <col min="1543" max="1544" width="8.7265625" style="156" customWidth="1"/>
    <col min="1545" max="1545" width="8.26953125" style="156" customWidth="1"/>
    <col min="1546" max="1546" width="8.7265625" style="156" customWidth="1"/>
    <col min="1547" max="1547" width="9.7265625" style="156" customWidth="1"/>
    <col min="1548" max="1548" width="10.7265625" style="156" customWidth="1"/>
    <col min="1549" max="1792" width="9.1796875" style="156"/>
    <col min="1793" max="1794" width="7.7265625" style="156" customWidth="1"/>
    <col min="1795" max="1795" width="0.81640625" style="156" customWidth="1"/>
    <col min="1796" max="1796" width="3.7265625" style="156" customWidth="1"/>
    <col min="1797" max="1797" width="23.7265625" style="156" customWidth="1"/>
    <col min="1798" max="1798" width="12.7265625" style="156" customWidth="1"/>
    <col min="1799" max="1800" width="8.7265625" style="156" customWidth="1"/>
    <col min="1801" max="1801" width="8.26953125" style="156" customWidth="1"/>
    <col min="1802" max="1802" width="8.7265625" style="156" customWidth="1"/>
    <col min="1803" max="1803" width="9.7265625" style="156" customWidth="1"/>
    <col min="1804" max="1804" width="10.7265625" style="156" customWidth="1"/>
    <col min="1805" max="2048" width="9.1796875" style="156"/>
    <col min="2049" max="2050" width="7.7265625" style="156" customWidth="1"/>
    <col min="2051" max="2051" width="0.81640625" style="156" customWidth="1"/>
    <col min="2052" max="2052" width="3.7265625" style="156" customWidth="1"/>
    <col min="2053" max="2053" width="23.7265625" style="156" customWidth="1"/>
    <col min="2054" max="2054" width="12.7265625" style="156" customWidth="1"/>
    <col min="2055" max="2056" width="8.7265625" style="156" customWidth="1"/>
    <col min="2057" max="2057" width="8.26953125" style="156" customWidth="1"/>
    <col min="2058" max="2058" width="8.7265625" style="156" customWidth="1"/>
    <col min="2059" max="2059" width="9.7265625" style="156" customWidth="1"/>
    <col min="2060" max="2060" width="10.7265625" style="156" customWidth="1"/>
    <col min="2061" max="2304" width="9.1796875" style="156"/>
    <col min="2305" max="2306" width="7.7265625" style="156" customWidth="1"/>
    <col min="2307" max="2307" width="0.81640625" style="156" customWidth="1"/>
    <col min="2308" max="2308" width="3.7265625" style="156" customWidth="1"/>
    <col min="2309" max="2309" width="23.7265625" style="156" customWidth="1"/>
    <col min="2310" max="2310" width="12.7265625" style="156" customWidth="1"/>
    <col min="2311" max="2312" width="8.7265625" style="156" customWidth="1"/>
    <col min="2313" max="2313" width="8.26953125" style="156" customWidth="1"/>
    <col min="2314" max="2314" width="8.7265625" style="156" customWidth="1"/>
    <col min="2315" max="2315" width="9.7265625" style="156" customWidth="1"/>
    <col min="2316" max="2316" width="10.7265625" style="156" customWidth="1"/>
    <col min="2317" max="2560" width="9.1796875" style="156"/>
    <col min="2561" max="2562" width="7.7265625" style="156" customWidth="1"/>
    <col min="2563" max="2563" width="0.81640625" style="156" customWidth="1"/>
    <col min="2564" max="2564" width="3.7265625" style="156" customWidth="1"/>
    <col min="2565" max="2565" width="23.7265625" style="156" customWidth="1"/>
    <col min="2566" max="2566" width="12.7265625" style="156" customWidth="1"/>
    <col min="2567" max="2568" width="8.7265625" style="156" customWidth="1"/>
    <col min="2569" max="2569" width="8.26953125" style="156" customWidth="1"/>
    <col min="2570" max="2570" width="8.7265625" style="156" customWidth="1"/>
    <col min="2571" max="2571" width="9.7265625" style="156" customWidth="1"/>
    <col min="2572" max="2572" width="10.7265625" style="156" customWidth="1"/>
    <col min="2573" max="2816" width="9.1796875" style="156"/>
    <col min="2817" max="2818" width="7.7265625" style="156" customWidth="1"/>
    <col min="2819" max="2819" width="0.81640625" style="156" customWidth="1"/>
    <col min="2820" max="2820" width="3.7265625" style="156" customWidth="1"/>
    <col min="2821" max="2821" width="23.7265625" style="156" customWidth="1"/>
    <col min="2822" max="2822" width="12.7265625" style="156" customWidth="1"/>
    <col min="2823" max="2824" width="8.7265625" style="156" customWidth="1"/>
    <col min="2825" max="2825" width="8.26953125" style="156" customWidth="1"/>
    <col min="2826" max="2826" width="8.7265625" style="156" customWidth="1"/>
    <col min="2827" max="2827" width="9.7265625" style="156" customWidth="1"/>
    <col min="2828" max="2828" width="10.7265625" style="156" customWidth="1"/>
    <col min="2829" max="3072" width="9.1796875" style="156"/>
    <col min="3073" max="3074" width="7.7265625" style="156" customWidth="1"/>
    <col min="3075" max="3075" width="0.81640625" style="156" customWidth="1"/>
    <col min="3076" max="3076" width="3.7265625" style="156" customWidth="1"/>
    <col min="3077" max="3077" width="23.7265625" style="156" customWidth="1"/>
    <col min="3078" max="3078" width="12.7265625" style="156" customWidth="1"/>
    <col min="3079" max="3080" width="8.7265625" style="156" customWidth="1"/>
    <col min="3081" max="3081" width="8.26953125" style="156" customWidth="1"/>
    <col min="3082" max="3082" width="8.7265625" style="156" customWidth="1"/>
    <col min="3083" max="3083" width="9.7265625" style="156" customWidth="1"/>
    <col min="3084" max="3084" width="10.7265625" style="156" customWidth="1"/>
    <col min="3085" max="3328" width="9.1796875" style="156"/>
    <col min="3329" max="3330" width="7.7265625" style="156" customWidth="1"/>
    <col min="3331" max="3331" width="0.81640625" style="156" customWidth="1"/>
    <col min="3332" max="3332" width="3.7265625" style="156" customWidth="1"/>
    <col min="3333" max="3333" width="23.7265625" style="156" customWidth="1"/>
    <col min="3334" max="3334" width="12.7265625" style="156" customWidth="1"/>
    <col min="3335" max="3336" width="8.7265625" style="156" customWidth="1"/>
    <col min="3337" max="3337" width="8.26953125" style="156" customWidth="1"/>
    <col min="3338" max="3338" width="8.7265625" style="156" customWidth="1"/>
    <col min="3339" max="3339" width="9.7265625" style="156" customWidth="1"/>
    <col min="3340" max="3340" width="10.7265625" style="156" customWidth="1"/>
    <col min="3341" max="3584" width="9.1796875" style="156"/>
    <col min="3585" max="3586" width="7.7265625" style="156" customWidth="1"/>
    <col min="3587" max="3587" width="0.81640625" style="156" customWidth="1"/>
    <col min="3588" max="3588" width="3.7265625" style="156" customWidth="1"/>
    <col min="3589" max="3589" width="23.7265625" style="156" customWidth="1"/>
    <col min="3590" max="3590" width="12.7265625" style="156" customWidth="1"/>
    <col min="3591" max="3592" width="8.7265625" style="156" customWidth="1"/>
    <col min="3593" max="3593" width="8.26953125" style="156" customWidth="1"/>
    <col min="3594" max="3594" width="8.7265625" style="156" customWidth="1"/>
    <col min="3595" max="3595" width="9.7265625" style="156" customWidth="1"/>
    <col min="3596" max="3596" width="10.7265625" style="156" customWidth="1"/>
    <col min="3597" max="3840" width="9.1796875" style="156"/>
    <col min="3841" max="3842" width="7.7265625" style="156" customWidth="1"/>
    <col min="3843" max="3843" width="0.81640625" style="156" customWidth="1"/>
    <col min="3844" max="3844" width="3.7265625" style="156" customWidth="1"/>
    <col min="3845" max="3845" width="23.7265625" style="156" customWidth="1"/>
    <col min="3846" max="3846" width="12.7265625" style="156" customWidth="1"/>
    <col min="3847" max="3848" width="8.7265625" style="156" customWidth="1"/>
    <col min="3849" max="3849" width="8.26953125" style="156" customWidth="1"/>
    <col min="3850" max="3850" width="8.7265625" style="156" customWidth="1"/>
    <col min="3851" max="3851" width="9.7265625" style="156" customWidth="1"/>
    <col min="3852" max="3852" width="10.7265625" style="156" customWidth="1"/>
    <col min="3853" max="4096" width="9.1796875" style="156"/>
    <col min="4097" max="4098" width="7.7265625" style="156" customWidth="1"/>
    <col min="4099" max="4099" width="0.81640625" style="156" customWidth="1"/>
    <col min="4100" max="4100" width="3.7265625" style="156" customWidth="1"/>
    <col min="4101" max="4101" width="23.7265625" style="156" customWidth="1"/>
    <col min="4102" max="4102" width="12.7265625" style="156" customWidth="1"/>
    <col min="4103" max="4104" width="8.7265625" style="156" customWidth="1"/>
    <col min="4105" max="4105" width="8.26953125" style="156" customWidth="1"/>
    <col min="4106" max="4106" width="8.7265625" style="156" customWidth="1"/>
    <col min="4107" max="4107" width="9.7265625" style="156" customWidth="1"/>
    <col min="4108" max="4108" width="10.7265625" style="156" customWidth="1"/>
    <col min="4109" max="4352" width="9.1796875" style="156"/>
    <col min="4353" max="4354" width="7.7265625" style="156" customWidth="1"/>
    <col min="4355" max="4355" width="0.81640625" style="156" customWidth="1"/>
    <col min="4356" max="4356" width="3.7265625" style="156" customWidth="1"/>
    <col min="4357" max="4357" width="23.7265625" style="156" customWidth="1"/>
    <col min="4358" max="4358" width="12.7265625" style="156" customWidth="1"/>
    <col min="4359" max="4360" width="8.7265625" style="156" customWidth="1"/>
    <col min="4361" max="4361" width="8.26953125" style="156" customWidth="1"/>
    <col min="4362" max="4362" width="8.7265625" style="156" customWidth="1"/>
    <col min="4363" max="4363" width="9.7265625" style="156" customWidth="1"/>
    <col min="4364" max="4364" width="10.7265625" style="156" customWidth="1"/>
    <col min="4365" max="4608" width="9.1796875" style="156"/>
    <col min="4609" max="4610" width="7.7265625" style="156" customWidth="1"/>
    <col min="4611" max="4611" width="0.81640625" style="156" customWidth="1"/>
    <col min="4612" max="4612" width="3.7265625" style="156" customWidth="1"/>
    <col min="4613" max="4613" width="23.7265625" style="156" customWidth="1"/>
    <col min="4614" max="4614" width="12.7265625" style="156" customWidth="1"/>
    <col min="4615" max="4616" width="8.7265625" style="156" customWidth="1"/>
    <col min="4617" max="4617" width="8.26953125" style="156" customWidth="1"/>
    <col min="4618" max="4618" width="8.7265625" style="156" customWidth="1"/>
    <col min="4619" max="4619" width="9.7265625" style="156" customWidth="1"/>
    <col min="4620" max="4620" width="10.7265625" style="156" customWidth="1"/>
    <col min="4621" max="4864" width="9.1796875" style="156"/>
    <col min="4865" max="4866" width="7.7265625" style="156" customWidth="1"/>
    <col min="4867" max="4867" width="0.81640625" style="156" customWidth="1"/>
    <col min="4868" max="4868" width="3.7265625" style="156" customWidth="1"/>
    <col min="4869" max="4869" width="23.7265625" style="156" customWidth="1"/>
    <col min="4870" max="4870" width="12.7265625" style="156" customWidth="1"/>
    <col min="4871" max="4872" width="8.7265625" style="156" customWidth="1"/>
    <col min="4873" max="4873" width="8.26953125" style="156" customWidth="1"/>
    <col min="4874" max="4874" width="8.7265625" style="156" customWidth="1"/>
    <col min="4875" max="4875" width="9.7265625" style="156" customWidth="1"/>
    <col min="4876" max="4876" width="10.7265625" style="156" customWidth="1"/>
    <col min="4877" max="5120" width="9.1796875" style="156"/>
    <col min="5121" max="5122" width="7.7265625" style="156" customWidth="1"/>
    <col min="5123" max="5123" width="0.81640625" style="156" customWidth="1"/>
    <col min="5124" max="5124" width="3.7265625" style="156" customWidth="1"/>
    <col min="5125" max="5125" width="23.7265625" style="156" customWidth="1"/>
    <col min="5126" max="5126" width="12.7265625" style="156" customWidth="1"/>
    <col min="5127" max="5128" width="8.7265625" style="156" customWidth="1"/>
    <col min="5129" max="5129" width="8.26953125" style="156" customWidth="1"/>
    <col min="5130" max="5130" width="8.7265625" style="156" customWidth="1"/>
    <col min="5131" max="5131" width="9.7265625" style="156" customWidth="1"/>
    <col min="5132" max="5132" width="10.7265625" style="156" customWidth="1"/>
    <col min="5133" max="5376" width="9.1796875" style="156"/>
    <col min="5377" max="5378" width="7.7265625" style="156" customWidth="1"/>
    <col min="5379" max="5379" width="0.81640625" style="156" customWidth="1"/>
    <col min="5380" max="5380" width="3.7265625" style="156" customWidth="1"/>
    <col min="5381" max="5381" width="23.7265625" style="156" customWidth="1"/>
    <col min="5382" max="5382" width="12.7265625" style="156" customWidth="1"/>
    <col min="5383" max="5384" width="8.7265625" style="156" customWidth="1"/>
    <col min="5385" max="5385" width="8.26953125" style="156" customWidth="1"/>
    <col min="5386" max="5386" width="8.7265625" style="156" customWidth="1"/>
    <col min="5387" max="5387" width="9.7265625" style="156" customWidth="1"/>
    <col min="5388" max="5388" width="10.7265625" style="156" customWidth="1"/>
    <col min="5389" max="5632" width="9.1796875" style="156"/>
    <col min="5633" max="5634" width="7.7265625" style="156" customWidth="1"/>
    <col min="5635" max="5635" width="0.81640625" style="156" customWidth="1"/>
    <col min="5636" max="5636" width="3.7265625" style="156" customWidth="1"/>
    <col min="5637" max="5637" width="23.7265625" style="156" customWidth="1"/>
    <col min="5638" max="5638" width="12.7265625" style="156" customWidth="1"/>
    <col min="5639" max="5640" width="8.7265625" style="156" customWidth="1"/>
    <col min="5641" max="5641" width="8.26953125" style="156" customWidth="1"/>
    <col min="5642" max="5642" width="8.7265625" style="156" customWidth="1"/>
    <col min="5643" max="5643" width="9.7265625" style="156" customWidth="1"/>
    <col min="5644" max="5644" width="10.7265625" style="156" customWidth="1"/>
    <col min="5645" max="5888" width="9.1796875" style="156"/>
    <col min="5889" max="5890" width="7.7265625" style="156" customWidth="1"/>
    <col min="5891" max="5891" width="0.81640625" style="156" customWidth="1"/>
    <col min="5892" max="5892" width="3.7265625" style="156" customWidth="1"/>
    <col min="5893" max="5893" width="23.7265625" style="156" customWidth="1"/>
    <col min="5894" max="5894" width="12.7265625" style="156" customWidth="1"/>
    <col min="5895" max="5896" width="8.7265625" style="156" customWidth="1"/>
    <col min="5897" max="5897" width="8.26953125" style="156" customWidth="1"/>
    <col min="5898" max="5898" width="8.7265625" style="156" customWidth="1"/>
    <col min="5899" max="5899" width="9.7265625" style="156" customWidth="1"/>
    <col min="5900" max="5900" width="10.7265625" style="156" customWidth="1"/>
    <col min="5901" max="6144" width="9.1796875" style="156"/>
    <col min="6145" max="6146" width="7.7265625" style="156" customWidth="1"/>
    <col min="6147" max="6147" width="0.81640625" style="156" customWidth="1"/>
    <col min="6148" max="6148" width="3.7265625" style="156" customWidth="1"/>
    <col min="6149" max="6149" width="23.7265625" style="156" customWidth="1"/>
    <col min="6150" max="6150" width="12.7265625" style="156" customWidth="1"/>
    <col min="6151" max="6152" width="8.7265625" style="156" customWidth="1"/>
    <col min="6153" max="6153" width="8.26953125" style="156" customWidth="1"/>
    <col min="6154" max="6154" width="8.7265625" style="156" customWidth="1"/>
    <col min="6155" max="6155" width="9.7265625" style="156" customWidth="1"/>
    <col min="6156" max="6156" width="10.7265625" style="156" customWidth="1"/>
    <col min="6157" max="6400" width="9.1796875" style="156"/>
    <col min="6401" max="6402" width="7.7265625" style="156" customWidth="1"/>
    <col min="6403" max="6403" width="0.81640625" style="156" customWidth="1"/>
    <col min="6404" max="6404" width="3.7265625" style="156" customWidth="1"/>
    <col min="6405" max="6405" width="23.7265625" style="156" customWidth="1"/>
    <col min="6406" max="6406" width="12.7265625" style="156" customWidth="1"/>
    <col min="6407" max="6408" width="8.7265625" style="156" customWidth="1"/>
    <col min="6409" max="6409" width="8.26953125" style="156" customWidth="1"/>
    <col min="6410" max="6410" width="8.7265625" style="156" customWidth="1"/>
    <col min="6411" max="6411" width="9.7265625" style="156" customWidth="1"/>
    <col min="6412" max="6412" width="10.7265625" style="156" customWidth="1"/>
    <col min="6413" max="6656" width="9.1796875" style="156"/>
    <col min="6657" max="6658" width="7.7265625" style="156" customWidth="1"/>
    <col min="6659" max="6659" width="0.81640625" style="156" customWidth="1"/>
    <col min="6660" max="6660" width="3.7265625" style="156" customWidth="1"/>
    <col min="6661" max="6661" width="23.7265625" style="156" customWidth="1"/>
    <col min="6662" max="6662" width="12.7265625" style="156" customWidth="1"/>
    <col min="6663" max="6664" width="8.7265625" style="156" customWidth="1"/>
    <col min="6665" max="6665" width="8.26953125" style="156" customWidth="1"/>
    <col min="6666" max="6666" width="8.7265625" style="156" customWidth="1"/>
    <col min="6667" max="6667" width="9.7265625" style="156" customWidth="1"/>
    <col min="6668" max="6668" width="10.7265625" style="156" customWidth="1"/>
    <col min="6669" max="6912" width="9.1796875" style="156"/>
    <col min="6913" max="6914" width="7.7265625" style="156" customWidth="1"/>
    <col min="6915" max="6915" width="0.81640625" style="156" customWidth="1"/>
    <col min="6916" max="6916" width="3.7265625" style="156" customWidth="1"/>
    <col min="6917" max="6917" width="23.7265625" style="156" customWidth="1"/>
    <col min="6918" max="6918" width="12.7265625" style="156" customWidth="1"/>
    <col min="6919" max="6920" width="8.7265625" style="156" customWidth="1"/>
    <col min="6921" max="6921" width="8.26953125" style="156" customWidth="1"/>
    <col min="6922" max="6922" width="8.7265625" style="156" customWidth="1"/>
    <col min="6923" max="6923" width="9.7265625" style="156" customWidth="1"/>
    <col min="6924" max="6924" width="10.7265625" style="156" customWidth="1"/>
    <col min="6925" max="7168" width="9.1796875" style="156"/>
    <col min="7169" max="7170" width="7.7265625" style="156" customWidth="1"/>
    <col min="7171" max="7171" width="0.81640625" style="156" customWidth="1"/>
    <col min="7172" max="7172" width="3.7265625" style="156" customWidth="1"/>
    <col min="7173" max="7173" width="23.7265625" style="156" customWidth="1"/>
    <col min="7174" max="7174" width="12.7265625" style="156" customWidth="1"/>
    <col min="7175" max="7176" width="8.7265625" style="156" customWidth="1"/>
    <col min="7177" max="7177" width="8.26953125" style="156" customWidth="1"/>
    <col min="7178" max="7178" width="8.7265625" style="156" customWidth="1"/>
    <col min="7179" max="7179" width="9.7265625" style="156" customWidth="1"/>
    <col min="7180" max="7180" width="10.7265625" style="156" customWidth="1"/>
    <col min="7181" max="7424" width="9.1796875" style="156"/>
    <col min="7425" max="7426" width="7.7265625" style="156" customWidth="1"/>
    <col min="7427" max="7427" width="0.81640625" style="156" customWidth="1"/>
    <col min="7428" max="7428" width="3.7265625" style="156" customWidth="1"/>
    <col min="7429" max="7429" width="23.7265625" style="156" customWidth="1"/>
    <col min="7430" max="7430" width="12.7265625" style="156" customWidth="1"/>
    <col min="7431" max="7432" width="8.7265625" style="156" customWidth="1"/>
    <col min="7433" max="7433" width="8.26953125" style="156" customWidth="1"/>
    <col min="7434" max="7434" width="8.7265625" style="156" customWidth="1"/>
    <col min="7435" max="7435" width="9.7265625" style="156" customWidth="1"/>
    <col min="7436" max="7436" width="10.7265625" style="156" customWidth="1"/>
    <col min="7437" max="7680" width="9.1796875" style="156"/>
    <col min="7681" max="7682" width="7.7265625" style="156" customWidth="1"/>
    <col min="7683" max="7683" width="0.81640625" style="156" customWidth="1"/>
    <col min="7684" max="7684" width="3.7265625" style="156" customWidth="1"/>
    <col min="7685" max="7685" width="23.7265625" style="156" customWidth="1"/>
    <col min="7686" max="7686" width="12.7265625" style="156" customWidth="1"/>
    <col min="7687" max="7688" width="8.7265625" style="156" customWidth="1"/>
    <col min="7689" max="7689" width="8.26953125" style="156" customWidth="1"/>
    <col min="7690" max="7690" width="8.7265625" style="156" customWidth="1"/>
    <col min="7691" max="7691" width="9.7265625" style="156" customWidth="1"/>
    <col min="7692" max="7692" width="10.7265625" style="156" customWidth="1"/>
    <col min="7693" max="7936" width="9.1796875" style="156"/>
    <col min="7937" max="7938" width="7.7265625" style="156" customWidth="1"/>
    <col min="7939" max="7939" width="0.81640625" style="156" customWidth="1"/>
    <col min="7940" max="7940" width="3.7265625" style="156" customWidth="1"/>
    <col min="7941" max="7941" width="23.7265625" style="156" customWidth="1"/>
    <col min="7942" max="7942" width="12.7265625" style="156" customWidth="1"/>
    <col min="7943" max="7944" width="8.7265625" style="156" customWidth="1"/>
    <col min="7945" max="7945" width="8.26953125" style="156" customWidth="1"/>
    <col min="7946" max="7946" width="8.7265625" style="156" customWidth="1"/>
    <col min="7947" max="7947" width="9.7265625" style="156" customWidth="1"/>
    <col min="7948" max="7948" width="10.7265625" style="156" customWidth="1"/>
    <col min="7949" max="8192" width="9.1796875" style="156"/>
    <col min="8193" max="8194" width="7.7265625" style="156" customWidth="1"/>
    <col min="8195" max="8195" width="0.81640625" style="156" customWidth="1"/>
    <col min="8196" max="8196" width="3.7265625" style="156" customWidth="1"/>
    <col min="8197" max="8197" width="23.7265625" style="156" customWidth="1"/>
    <col min="8198" max="8198" width="12.7265625" style="156" customWidth="1"/>
    <col min="8199" max="8200" width="8.7265625" style="156" customWidth="1"/>
    <col min="8201" max="8201" width="8.26953125" style="156" customWidth="1"/>
    <col min="8202" max="8202" width="8.7265625" style="156" customWidth="1"/>
    <col min="8203" max="8203" width="9.7265625" style="156" customWidth="1"/>
    <col min="8204" max="8204" width="10.7265625" style="156" customWidth="1"/>
    <col min="8205" max="8448" width="9.1796875" style="156"/>
    <col min="8449" max="8450" width="7.7265625" style="156" customWidth="1"/>
    <col min="8451" max="8451" width="0.81640625" style="156" customWidth="1"/>
    <col min="8452" max="8452" width="3.7265625" style="156" customWidth="1"/>
    <col min="8453" max="8453" width="23.7265625" style="156" customWidth="1"/>
    <col min="8454" max="8454" width="12.7265625" style="156" customWidth="1"/>
    <col min="8455" max="8456" width="8.7265625" style="156" customWidth="1"/>
    <col min="8457" max="8457" width="8.26953125" style="156" customWidth="1"/>
    <col min="8458" max="8458" width="8.7265625" style="156" customWidth="1"/>
    <col min="8459" max="8459" width="9.7265625" style="156" customWidth="1"/>
    <col min="8460" max="8460" width="10.7265625" style="156" customWidth="1"/>
    <col min="8461" max="8704" width="9.1796875" style="156"/>
    <col min="8705" max="8706" width="7.7265625" style="156" customWidth="1"/>
    <col min="8707" max="8707" width="0.81640625" style="156" customWidth="1"/>
    <col min="8708" max="8708" width="3.7265625" style="156" customWidth="1"/>
    <col min="8709" max="8709" width="23.7265625" style="156" customWidth="1"/>
    <col min="8710" max="8710" width="12.7265625" style="156" customWidth="1"/>
    <col min="8711" max="8712" width="8.7265625" style="156" customWidth="1"/>
    <col min="8713" max="8713" width="8.26953125" style="156" customWidth="1"/>
    <col min="8714" max="8714" width="8.7265625" style="156" customWidth="1"/>
    <col min="8715" max="8715" width="9.7265625" style="156" customWidth="1"/>
    <col min="8716" max="8716" width="10.7265625" style="156" customWidth="1"/>
    <col min="8717" max="8960" width="9.1796875" style="156"/>
    <col min="8961" max="8962" width="7.7265625" style="156" customWidth="1"/>
    <col min="8963" max="8963" width="0.81640625" style="156" customWidth="1"/>
    <col min="8964" max="8964" width="3.7265625" style="156" customWidth="1"/>
    <col min="8965" max="8965" width="23.7265625" style="156" customWidth="1"/>
    <col min="8966" max="8966" width="12.7265625" style="156" customWidth="1"/>
    <col min="8967" max="8968" width="8.7265625" style="156" customWidth="1"/>
    <col min="8969" max="8969" width="8.26953125" style="156" customWidth="1"/>
    <col min="8970" max="8970" width="8.7265625" style="156" customWidth="1"/>
    <col min="8971" max="8971" width="9.7265625" style="156" customWidth="1"/>
    <col min="8972" max="8972" width="10.7265625" style="156" customWidth="1"/>
    <col min="8973" max="9216" width="9.1796875" style="156"/>
    <col min="9217" max="9218" width="7.7265625" style="156" customWidth="1"/>
    <col min="9219" max="9219" width="0.81640625" style="156" customWidth="1"/>
    <col min="9220" max="9220" width="3.7265625" style="156" customWidth="1"/>
    <col min="9221" max="9221" width="23.7265625" style="156" customWidth="1"/>
    <col min="9222" max="9222" width="12.7265625" style="156" customWidth="1"/>
    <col min="9223" max="9224" width="8.7265625" style="156" customWidth="1"/>
    <col min="9225" max="9225" width="8.26953125" style="156" customWidth="1"/>
    <col min="9226" max="9226" width="8.7265625" style="156" customWidth="1"/>
    <col min="9227" max="9227" width="9.7265625" style="156" customWidth="1"/>
    <col min="9228" max="9228" width="10.7265625" style="156" customWidth="1"/>
    <col min="9229" max="9472" width="9.1796875" style="156"/>
    <col min="9473" max="9474" width="7.7265625" style="156" customWidth="1"/>
    <col min="9475" max="9475" width="0.81640625" style="156" customWidth="1"/>
    <col min="9476" max="9476" width="3.7265625" style="156" customWidth="1"/>
    <col min="9477" max="9477" width="23.7265625" style="156" customWidth="1"/>
    <col min="9478" max="9478" width="12.7265625" style="156" customWidth="1"/>
    <col min="9479" max="9480" width="8.7265625" style="156" customWidth="1"/>
    <col min="9481" max="9481" width="8.26953125" style="156" customWidth="1"/>
    <col min="9482" max="9482" width="8.7265625" style="156" customWidth="1"/>
    <col min="9483" max="9483" width="9.7265625" style="156" customWidth="1"/>
    <col min="9484" max="9484" width="10.7265625" style="156" customWidth="1"/>
    <col min="9485" max="9728" width="9.1796875" style="156"/>
    <col min="9729" max="9730" width="7.7265625" style="156" customWidth="1"/>
    <col min="9731" max="9731" width="0.81640625" style="156" customWidth="1"/>
    <col min="9732" max="9732" width="3.7265625" style="156" customWidth="1"/>
    <col min="9733" max="9733" width="23.7265625" style="156" customWidth="1"/>
    <col min="9734" max="9734" width="12.7265625" style="156" customWidth="1"/>
    <col min="9735" max="9736" width="8.7265625" style="156" customWidth="1"/>
    <col min="9737" max="9737" width="8.26953125" style="156" customWidth="1"/>
    <col min="9738" max="9738" width="8.7265625" style="156" customWidth="1"/>
    <col min="9739" max="9739" width="9.7265625" style="156" customWidth="1"/>
    <col min="9740" max="9740" width="10.7265625" style="156" customWidth="1"/>
    <col min="9741" max="9984" width="9.1796875" style="156"/>
    <col min="9985" max="9986" width="7.7265625" style="156" customWidth="1"/>
    <col min="9987" max="9987" width="0.81640625" style="156" customWidth="1"/>
    <col min="9988" max="9988" width="3.7265625" style="156" customWidth="1"/>
    <col min="9989" max="9989" width="23.7265625" style="156" customWidth="1"/>
    <col min="9990" max="9990" width="12.7265625" style="156" customWidth="1"/>
    <col min="9991" max="9992" width="8.7265625" style="156" customWidth="1"/>
    <col min="9993" max="9993" width="8.26953125" style="156" customWidth="1"/>
    <col min="9994" max="9994" width="8.7265625" style="156" customWidth="1"/>
    <col min="9995" max="9995" width="9.7265625" style="156" customWidth="1"/>
    <col min="9996" max="9996" width="10.7265625" style="156" customWidth="1"/>
    <col min="9997" max="10240" width="9.1796875" style="156"/>
    <col min="10241" max="10242" width="7.7265625" style="156" customWidth="1"/>
    <col min="10243" max="10243" width="0.81640625" style="156" customWidth="1"/>
    <col min="10244" max="10244" width="3.7265625" style="156" customWidth="1"/>
    <col min="10245" max="10245" width="23.7265625" style="156" customWidth="1"/>
    <col min="10246" max="10246" width="12.7265625" style="156" customWidth="1"/>
    <col min="10247" max="10248" width="8.7265625" style="156" customWidth="1"/>
    <col min="10249" max="10249" width="8.26953125" style="156" customWidth="1"/>
    <col min="10250" max="10250" width="8.7265625" style="156" customWidth="1"/>
    <col min="10251" max="10251" width="9.7265625" style="156" customWidth="1"/>
    <col min="10252" max="10252" width="10.7265625" style="156" customWidth="1"/>
    <col min="10253" max="10496" width="9.1796875" style="156"/>
    <col min="10497" max="10498" width="7.7265625" style="156" customWidth="1"/>
    <col min="10499" max="10499" width="0.81640625" style="156" customWidth="1"/>
    <col min="10500" max="10500" width="3.7265625" style="156" customWidth="1"/>
    <col min="10501" max="10501" width="23.7265625" style="156" customWidth="1"/>
    <col min="10502" max="10502" width="12.7265625" style="156" customWidth="1"/>
    <col min="10503" max="10504" width="8.7265625" style="156" customWidth="1"/>
    <col min="10505" max="10505" width="8.26953125" style="156" customWidth="1"/>
    <col min="10506" max="10506" width="8.7265625" style="156" customWidth="1"/>
    <col min="10507" max="10507" width="9.7265625" style="156" customWidth="1"/>
    <col min="10508" max="10508" width="10.7265625" style="156" customWidth="1"/>
    <col min="10509" max="10752" width="9.1796875" style="156"/>
    <col min="10753" max="10754" width="7.7265625" style="156" customWidth="1"/>
    <col min="10755" max="10755" width="0.81640625" style="156" customWidth="1"/>
    <col min="10756" max="10756" width="3.7265625" style="156" customWidth="1"/>
    <col min="10757" max="10757" width="23.7265625" style="156" customWidth="1"/>
    <col min="10758" max="10758" width="12.7265625" style="156" customWidth="1"/>
    <col min="10759" max="10760" width="8.7265625" style="156" customWidth="1"/>
    <col min="10761" max="10761" width="8.26953125" style="156" customWidth="1"/>
    <col min="10762" max="10762" width="8.7265625" style="156" customWidth="1"/>
    <col min="10763" max="10763" width="9.7265625" style="156" customWidth="1"/>
    <col min="10764" max="10764" width="10.7265625" style="156" customWidth="1"/>
    <col min="10765" max="11008" width="9.1796875" style="156"/>
    <col min="11009" max="11010" width="7.7265625" style="156" customWidth="1"/>
    <col min="11011" max="11011" width="0.81640625" style="156" customWidth="1"/>
    <col min="11012" max="11012" width="3.7265625" style="156" customWidth="1"/>
    <col min="11013" max="11013" width="23.7265625" style="156" customWidth="1"/>
    <col min="11014" max="11014" width="12.7265625" style="156" customWidth="1"/>
    <col min="11015" max="11016" width="8.7265625" style="156" customWidth="1"/>
    <col min="11017" max="11017" width="8.26953125" style="156" customWidth="1"/>
    <col min="11018" max="11018" width="8.7265625" style="156" customWidth="1"/>
    <col min="11019" max="11019" width="9.7265625" style="156" customWidth="1"/>
    <col min="11020" max="11020" width="10.7265625" style="156" customWidth="1"/>
    <col min="11021" max="11264" width="9.1796875" style="156"/>
    <col min="11265" max="11266" width="7.7265625" style="156" customWidth="1"/>
    <col min="11267" max="11267" width="0.81640625" style="156" customWidth="1"/>
    <col min="11268" max="11268" width="3.7265625" style="156" customWidth="1"/>
    <col min="11269" max="11269" width="23.7265625" style="156" customWidth="1"/>
    <col min="11270" max="11270" width="12.7265625" style="156" customWidth="1"/>
    <col min="11271" max="11272" width="8.7265625" style="156" customWidth="1"/>
    <col min="11273" max="11273" width="8.26953125" style="156" customWidth="1"/>
    <col min="11274" max="11274" width="8.7265625" style="156" customWidth="1"/>
    <col min="11275" max="11275" width="9.7265625" style="156" customWidth="1"/>
    <col min="11276" max="11276" width="10.7265625" style="156" customWidth="1"/>
    <col min="11277" max="11520" width="9.1796875" style="156"/>
    <col min="11521" max="11522" width="7.7265625" style="156" customWidth="1"/>
    <col min="11523" max="11523" width="0.81640625" style="156" customWidth="1"/>
    <col min="11524" max="11524" width="3.7265625" style="156" customWidth="1"/>
    <col min="11525" max="11525" width="23.7265625" style="156" customWidth="1"/>
    <col min="11526" max="11526" width="12.7265625" style="156" customWidth="1"/>
    <col min="11527" max="11528" width="8.7265625" style="156" customWidth="1"/>
    <col min="11529" max="11529" width="8.26953125" style="156" customWidth="1"/>
    <col min="11530" max="11530" width="8.7265625" style="156" customWidth="1"/>
    <col min="11531" max="11531" width="9.7265625" style="156" customWidth="1"/>
    <col min="11532" max="11532" width="10.7265625" style="156" customWidth="1"/>
    <col min="11533" max="11776" width="9.1796875" style="156"/>
    <col min="11777" max="11778" width="7.7265625" style="156" customWidth="1"/>
    <col min="11779" max="11779" width="0.81640625" style="156" customWidth="1"/>
    <col min="11780" max="11780" width="3.7265625" style="156" customWidth="1"/>
    <col min="11781" max="11781" width="23.7265625" style="156" customWidth="1"/>
    <col min="11782" max="11782" width="12.7265625" style="156" customWidth="1"/>
    <col min="11783" max="11784" width="8.7265625" style="156" customWidth="1"/>
    <col min="11785" max="11785" width="8.26953125" style="156" customWidth="1"/>
    <col min="11786" max="11786" width="8.7265625" style="156" customWidth="1"/>
    <col min="11787" max="11787" width="9.7265625" style="156" customWidth="1"/>
    <col min="11788" max="11788" width="10.7265625" style="156" customWidth="1"/>
    <col min="11789" max="12032" width="9.1796875" style="156"/>
    <col min="12033" max="12034" width="7.7265625" style="156" customWidth="1"/>
    <col min="12035" max="12035" width="0.81640625" style="156" customWidth="1"/>
    <col min="12036" max="12036" width="3.7265625" style="156" customWidth="1"/>
    <col min="12037" max="12037" width="23.7265625" style="156" customWidth="1"/>
    <col min="12038" max="12038" width="12.7265625" style="156" customWidth="1"/>
    <col min="12039" max="12040" width="8.7265625" style="156" customWidth="1"/>
    <col min="12041" max="12041" width="8.26953125" style="156" customWidth="1"/>
    <col min="12042" max="12042" width="8.7265625" style="156" customWidth="1"/>
    <col min="12043" max="12043" width="9.7265625" style="156" customWidth="1"/>
    <col min="12044" max="12044" width="10.7265625" style="156" customWidth="1"/>
    <col min="12045" max="12288" width="9.1796875" style="156"/>
    <col min="12289" max="12290" width="7.7265625" style="156" customWidth="1"/>
    <col min="12291" max="12291" width="0.81640625" style="156" customWidth="1"/>
    <col min="12292" max="12292" width="3.7265625" style="156" customWidth="1"/>
    <col min="12293" max="12293" width="23.7265625" style="156" customWidth="1"/>
    <col min="12294" max="12294" width="12.7265625" style="156" customWidth="1"/>
    <col min="12295" max="12296" width="8.7265625" style="156" customWidth="1"/>
    <col min="12297" max="12297" width="8.26953125" style="156" customWidth="1"/>
    <col min="12298" max="12298" width="8.7265625" style="156" customWidth="1"/>
    <col min="12299" max="12299" width="9.7265625" style="156" customWidth="1"/>
    <col min="12300" max="12300" width="10.7265625" style="156" customWidth="1"/>
    <col min="12301" max="12544" width="9.1796875" style="156"/>
    <col min="12545" max="12546" width="7.7265625" style="156" customWidth="1"/>
    <col min="12547" max="12547" width="0.81640625" style="156" customWidth="1"/>
    <col min="12548" max="12548" width="3.7265625" style="156" customWidth="1"/>
    <col min="12549" max="12549" width="23.7265625" style="156" customWidth="1"/>
    <col min="12550" max="12550" width="12.7265625" style="156" customWidth="1"/>
    <col min="12551" max="12552" width="8.7265625" style="156" customWidth="1"/>
    <col min="12553" max="12553" width="8.26953125" style="156" customWidth="1"/>
    <col min="12554" max="12554" width="8.7265625" style="156" customWidth="1"/>
    <col min="12555" max="12555" width="9.7265625" style="156" customWidth="1"/>
    <col min="12556" max="12556" width="10.7265625" style="156" customWidth="1"/>
    <col min="12557" max="12800" width="9.1796875" style="156"/>
    <col min="12801" max="12802" width="7.7265625" style="156" customWidth="1"/>
    <col min="12803" max="12803" width="0.81640625" style="156" customWidth="1"/>
    <col min="12804" max="12804" width="3.7265625" style="156" customWidth="1"/>
    <col min="12805" max="12805" width="23.7265625" style="156" customWidth="1"/>
    <col min="12806" max="12806" width="12.7265625" style="156" customWidth="1"/>
    <col min="12807" max="12808" width="8.7265625" style="156" customWidth="1"/>
    <col min="12809" max="12809" width="8.26953125" style="156" customWidth="1"/>
    <col min="12810" max="12810" width="8.7265625" style="156" customWidth="1"/>
    <col min="12811" max="12811" width="9.7265625" style="156" customWidth="1"/>
    <col min="12812" max="12812" width="10.7265625" style="156" customWidth="1"/>
    <col min="12813" max="13056" width="9.1796875" style="156"/>
    <col min="13057" max="13058" width="7.7265625" style="156" customWidth="1"/>
    <col min="13059" max="13059" width="0.81640625" style="156" customWidth="1"/>
    <col min="13060" max="13060" width="3.7265625" style="156" customWidth="1"/>
    <col min="13061" max="13061" width="23.7265625" style="156" customWidth="1"/>
    <col min="13062" max="13062" width="12.7265625" style="156" customWidth="1"/>
    <col min="13063" max="13064" width="8.7265625" style="156" customWidth="1"/>
    <col min="13065" max="13065" width="8.26953125" style="156" customWidth="1"/>
    <col min="13066" max="13066" width="8.7265625" style="156" customWidth="1"/>
    <col min="13067" max="13067" width="9.7265625" style="156" customWidth="1"/>
    <col min="13068" max="13068" width="10.7265625" style="156" customWidth="1"/>
    <col min="13069" max="13312" width="9.1796875" style="156"/>
    <col min="13313" max="13314" width="7.7265625" style="156" customWidth="1"/>
    <col min="13315" max="13315" width="0.81640625" style="156" customWidth="1"/>
    <col min="13316" max="13316" width="3.7265625" style="156" customWidth="1"/>
    <col min="13317" max="13317" width="23.7265625" style="156" customWidth="1"/>
    <col min="13318" max="13318" width="12.7265625" style="156" customWidth="1"/>
    <col min="13319" max="13320" width="8.7265625" style="156" customWidth="1"/>
    <col min="13321" max="13321" width="8.26953125" style="156" customWidth="1"/>
    <col min="13322" max="13322" width="8.7265625" style="156" customWidth="1"/>
    <col min="13323" max="13323" width="9.7265625" style="156" customWidth="1"/>
    <col min="13324" max="13324" width="10.7265625" style="156" customWidth="1"/>
    <col min="13325" max="13568" width="9.1796875" style="156"/>
    <col min="13569" max="13570" width="7.7265625" style="156" customWidth="1"/>
    <col min="13571" max="13571" width="0.81640625" style="156" customWidth="1"/>
    <col min="13572" max="13572" width="3.7265625" style="156" customWidth="1"/>
    <col min="13573" max="13573" width="23.7265625" style="156" customWidth="1"/>
    <col min="13574" max="13574" width="12.7265625" style="156" customWidth="1"/>
    <col min="13575" max="13576" width="8.7265625" style="156" customWidth="1"/>
    <col min="13577" max="13577" width="8.26953125" style="156" customWidth="1"/>
    <col min="13578" max="13578" width="8.7265625" style="156" customWidth="1"/>
    <col min="13579" max="13579" width="9.7265625" style="156" customWidth="1"/>
    <col min="13580" max="13580" width="10.7265625" style="156" customWidth="1"/>
    <col min="13581" max="13824" width="9.1796875" style="156"/>
    <col min="13825" max="13826" width="7.7265625" style="156" customWidth="1"/>
    <col min="13827" max="13827" width="0.81640625" style="156" customWidth="1"/>
    <col min="13828" max="13828" width="3.7265625" style="156" customWidth="1"/>
    <col min="13829" max="13829" width="23.7265625" style="156" customWidth="1"/>
    <col min="13830" max="13830" width="12.7265625" style="156" customWidth="1"/>
    <col min="13831" max="13832" width="8.7265625" style="156" customWidth="1"/>
    <col min="13833" max="13833" width="8.26953125" style="156" customWidth="1"/>
    <col min="13834" max="13834" width="8.7265625" style="156" customWidth="1"/>
    <col min="13835" max="13835" width="9.7265625" style="156" customWidth="1"/>
    <col min="13836" max="13836" width="10.7265625" style="156" customWidth="1"/>
    <col min="13837" max="14080" width="9.1796875" style="156"/>
    <col min="14081" max="14082" width="7.7265625" style="156" customWidth="1"/>
    <col min="14083" max="14083" width="0.81640625" style="156" customWidth="1"/>
    <col min="14084" max="14084" width="3.7265625" style="156" customWidth="1"/>
    <col min="14085" max="14085" width="23.7265625" style="156" customWidth="1"/>
    <col min="14086" max="14086" width="12.7265625" style="156" customWidth="1"/>
    <col min="14087" max="14088" width="8.7265625" style="156" customWidth="1"/>
    <col min="14089" max="14089" width="8.26953125" style="156" customWidth="1"/>
    <col min="14090" max="14090" width="8.7265625" style="156" customWidth="1"/>
    <col min="14091" max="14091" width="9.7265625" style="156" customWidth="1"/>
    <col min="14092" max="14092" width="10.7265625" style="156" customWidth="1"/>
    <col min="14093" max="14336" width="9.1796875" style="156"/>
    <col min="14337" max="14338" width="7.7265625" style="156" customWidth="1"/>
    <col min="14339" max="14339" width="0.81640625" style="156" customWidth="1"/>
    <col min="14340" max="14340" width="3.7265625" style="156" customWidth="1"/>
    <col min="14341" max="14341" width="23.7265625" style="156" customWidth="1"/>
    <col min="14342" max="14342" width="12.7265625" style="156" customWidth="1"/>
    <col min="14343" max="14344" width="8.7265625" style="156" customWidth="1"/>
    <col min="14345" max="14345" width="8.26953125" style="156" customWidth="1"/>
    <col min="14346" max="14346" width="8.7265625" style="156" customWidth="1"/>
    <col min="14347" max="14347" width="9.7265625" style="156" customWidth="1"/>
    <col min="14348" max="14348" width="10.7265625" style="156" customWidth="1"/>
    <col min="14349" max="14592" width="9.1796875" style="156"/>
    <col min="14593" max="14594" width="7.7265625" style="156" customWidth="1"/>
    <col min="14595" max="14595" width="0.81640625" style="156" customWidth="1"/>
    <col min="14596" max="14596" width="3.7265625" style="156" customWidth="1"/>
    <col min="14597" max="14597" width="23.7265625" style="156" customWidth="1"/>
    <col min="14598" max="14598" width="12.7265625" style="156" customWidth="1"/>
    <col min="14599" max="14600" width="8.7265625" style="156" customWidth="1"/>
    <col min="14601" max="14601" width="8.26953125" style="156" customWidth="1"/>
    <col min="14602" max="14602" width="8.7265625" style="156" customWidth="1"/>
    <col min="14603" max="14603" width="9.7265625" style="156" customWidth="1"/>
    <col min="14604" max="14604" width="10.7265625" style="156" customWidth="1"/>
    <col min="14605" max="14848" width="9.1796875" style="156"/>
    <col min="14849" max="14850" width="7.7265625" style="156" customWidth="1"/>
    <col min="14851" max="14851" width="0.81640625" style="156" customWidth="1"/>
    <col min="14852" max="14852" width="3.7265625" style="156" customWidth="1"/>
    <col min="14853" max="14853" width="23.7265625" style="156" customWidth="1"/>
    <col min="14854" max="14854" width="12.7265625" style="156" customWidth="1"/>
    <col min="14855" max="14856" width="8.7265625" style="156" customWidth="1"/>
    <col min="14857" max="14857" width="8.26953125" style="156" customWidth="1"/>
    <col min="14858" max="14858" width="8.7265625" style="156" customWidth="1"/>
    <col min="14859" max="14859" width="9.7265625" style="156" customWidth="1"/>
    <col min="14860" max="14860" width="10.7265625" style="156" customWidth="1"/>
    <col min="14861" max="15104" width="9.1796875" style="156"/>
    <col min="15105" max="15106" width="7.7265625" style="156" customWidth="1"/>
    <col min="15107" max="15107" width="0.81640625" style="156" customWidth="1"/>
    <col min="15108" max="15108" width="3.7265625" style="156" customWidth="1"/>
    <col min="15109" max="15109" width="23.7265625" style="156" customWidth="1"/>
    <col min="15110" max="15110" width="12.7265625" style="156" customWidth="1"/>
    <col min="15111" max="15112" width="8.7265625" style="156" customWidth="1"/>
    <col min="15113" max="15113" width="8.26953125" style="156" customWidth="1"/>
    <col min="15114" max="15114" width="8.7265625" style="156" customWidth="1"/>
    <col min="15115" max="15115" width="9.7265625" style="156" customWidth="1"/>
    <col min="15116" max="15116" width="10.7265625" style="156" customWidth="1"/>
    <col min="15117" max="15360" width="9.1796875" style="156"/>
    <col min="15361" max="15362" width="7.7265625" style="156" customWidth="1"/>
    <col min="15363" max="15363" width="0.81640625" style="156" customWidth="1"/>
    <col min="15364" max="15364" width="3.7265625" style="156" customWidth="1"/>
    <col min="15365" max="15365" width="23.7265625" style="156" customWidth="1"/>
    <col min="15366" max="15366" width="12.7265625" style="156" customWidth="1"/>
    <col min="15367" max="15368" width="8.7265625" style="156" customWidth="1"/>
    <col min="15369" max="15369" width="8.26953125" style="156" customWidth="1"/>
    <col min="15370" max="15370" width="8.7265625" style="156" customWidth="1"/>
    <col min="15371" max="15371" width="9.7265625" style="156" customWidth="1"/>
    <col min="15372" max="15372" width="10.7265625" style="156" customWidth="1"/>
    <col min="15373" max="15616" width="9.1796875" style="156"/>
    <col min="15617" max="15618" width="7.7265625" style="156" customWidth="1"/>
    <col min="15619" max="15619" width="0.81640625" style="156" customWidth="1"/>
    <col min="15620" max="15620" width="3.7265625" style="156" customWidth="1"/>
    <col min="15621" max="15621" width="23.7265625" style="156" customWidth="1"/>
    <col min="15622" max="15622" width="12.7265625" style="156" customWidth="1"/>
    <col min="15623" max="15624" width="8.7265625" style="156" customWidth="1"/>
    <col min="15625" max="15625" width="8.26953125" style="156" customWidth="1"/>
    <col min="15626" max="15626" width="8.7265625" style="156" customWidth="1"/>
    <col min="15627" max="15627" width="9.7265625" style="156" customWidth="1"/>
    <col min="15628" max="15628" width="10.7265625" style="156" customWidth="1"/>
    <col min="15629" max="15872" width="9.1796875" style="156"/>
    <col min="15873" max="15874" width="7.7265625" style="156" customWidth="1"/>
    <col min="15875" max="15875" width="0.81640625" style="156" customWidth="1"/>
    <col min="15876" max="15876" width="3.7265625" style="156" customWidth="1"/>
    <col min="15877" max="15877" width="23.7265625" style="156" customWidth="1"/>
    <col min="15878" max="15878" width="12.7265625" style="156" customWidth="1"/>
    <col min="15879" max="15880" width="8.7265625" style="156" customWidth="1"/>
    <col min="15881" max="15881" width="8.26953125" style="156" customWidth="1"/>
    <col min="15882" max="15882" width="8.7265625" style="156" customWidth="1"/>
    <col min="15883" max="15883" width="9.7265625" style="156" customWidth="1"/>
    <col min="15884" max="15884" width="10.7265625" style="156" customWidth="1"/>
    <col min="15885" max="16128" width="9.1796875" style="156"/>
    <col min="16129" max="16130" width="7.7265625" style="156" customWidth="1"/>
    <col min="16131" max="16131" width="0.81640625" style="156" customWidth="1"/>
    <col min="16132" max="16132" width="3.7265625" style="156" customWidth="1"/>
    <col min="16133" max="16133" width="23.7265625" style="156" customWidth="1"/>
    <col min="16134" max="16134" width="12.7265625" style="156" customWidth="1"/>
    <col min="16135" max="16136" width="8.7265625" style="156" customWidth="1"/>
    <col min="16137" max="16137" width="8.26953125" style="156" customWidth="1"/>
    <col min="16138" max="16138" width="8.7265625" style="156" customWidth="1"/>
    <col min="16139" max="16139" width="9.7265625" style="156" customWidth="1"/>
    <col min="16140" max="16140" width="10.7265625" style="156" customWidth="1"/>
    <col min="16141" max="16384" width="9.1796875" style="156"/>
  </cols>
  <sheetData>
    <row r="1" spans="1:15" ht="5.15" customHeigh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5" ht="15" customHeight="1" x14ac:dyDescent="0.2">
      <c r="A2" s="611" t="s">
        <v>511</v>
      </c>
      <c r="B2" s="612"/>
      <c r="C2" s="612"/>
      <c r="D2" s="612"/>
      <c r="E2" s="612"/>
      <c r="F2" s="612"/>
      <c r="G2" s="612"/>
      <c r="H2" s="612"/>
      <c r="I2" s="612"/>
      <c r="J2" s="612"/>
      <c r="K2" s="613"/>
      <c r="L2" s="157" t="s">
        <v>512</v>
      </c>
    </row>
    <row r="3" spans="1:15" ht="15" customHeight="1" x14ac:dyDescent="0.2">
      <c r="A3" s="614"/>
      <c r="B3" s="615"/>
      <c r="C3" s="615"/>
      <c r="D3" s="615"/>
      <c r="E3" s="615"/>
      <c r="F3" s="615"/>
      <c r="G3" s="615"/>
      <c r="H3" s="615"/>
      <c r="I3" s="615"/>
      <c r="J3" s="615"/>
      <c r="K3" s="616"/>
      <c r="L3" s="617" t="s">
        <v>513</v>
      </c>
    </row>
    <row r="4" spans="1:15" ht="3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617"/>
    </row>
    <row r="5" spans="1:15" s="164" customFormat="1" ht="25" customHeight="1" x14ac:dyDescent="0.25">
      <c r="A5" s="159" t="s">
        <v>514</v>
      </c>
      <c r="B5" s="160"/>
      <c r="C5" s="160"/>
      <c r="D5" s="161" t="s">
        <v>515</v>
      </c>
      <c r="E5" s="618" t="s">
        <v>9</v>
      </c>
      <c r="F5" s="618"/>
      <c r="G5" s="618"/>
      <c r="H5" s="618"/>
      <c r="I5" s="618"/>
      <c r="J5" s="619"/>
      <c r="K5" s="162" t="s">
        <v>516</v>
      </c>
      <c r="L5" s="163" t="s">
        <v>517</v>
      </c>
      <c r="O5" s="165"/>
    </row>
    <row r="6" spans="1:15" s="164" customFormat="1" ht="3" customHeigh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5" s="164" customFormat="1" ht="14.15" customHeight="1" x14ac:dyDescent="0.25">
      <c r="A7" s="620" t="s">
        <v>518</v>
      </c>
      <c r="B7" s="621"/>
      <c r="C7" s="621"/>
      <c r="D7" s="621"/>
      <c r="E7" s="621"/>
      <c r="F7" s="622"/>
      <c r="G7" s="626" t="s">
        <v>131</v>
      </c>
      <c r="H7" s="628" t="s">
        <v>519</v>
      </c>
      <c r="I7" s="629"/>
      <c r="J7" s="630" t="s">
        <v>520</v>
      </c>
      <c r="K7" s="630"/>
      <c r="L7" s="167" t="s">
        <v>521</v>
      </c>
    </row>
    <row r="8" spans="1:15" s="164" customFormat="1" ht="14.15" customHeight="1" x14ac:dyDescent="0.25">
      <c r="A8" s="623"/>
      <c r="B8" s="624"/>
      <c r="C8" s="624"/>
      <c r="D8" s="624"/>
      <c r="E8" s="624"/>
      <c r="F8" s="625"/>
      <c r="G8" s="627"/>
      <c r="H8" s="168" t="s">
        <v>522</v>
      </c>
      <c r="I8" s="169" t="s">
        <v>523</v>
      </c>
      <c r="J8" s="168" t="s">
        <v>522</v>
      </c>
      <c r="K8" s="169" t="s">
        <v>523</v>
      </c>
      <c r="L8" s="170" t="s">
        <v>524</v>
      </c>
    </row>
    <row r="9" spans="1:15" s="164" customFormat="1" ht="13" hidden="1" customHeight="1" x14ac:dyDescent="0.25">
      <c r="A9" s="171"/>
      <c r="B9" s="172"/>
      <c r="C9" s="173"/>
      <c r="D9" s="174"/>
      <c r="E9" s="175"/>
      <c r="F9" s="176"/>
      <c r="G9" s="177"/>
      <c r="H9" s="178"/>
      <c r="I9" s="179"/>
      <c r="J9" s="180"/>
      <c r="K9" s="180"/>
      <c r="L9" s="180">
        <f>ROUND((G9*H9*J9)+(G9*I9*K9),4)</f>
        <v>0</v>
      </c>
    </row>
    <row r="10" spans="1:15" s="164" customFormat="1" ht="13" hidden="1" customHeight="1" x14ac:dyDescent="0.25">
      <c r="A10" s="181"/>
      <c r="B10" s="182"/>
      <c r="C10" s="183"/>
      <c r="D10" s="184"/>
      <c r="E10" s="166"/>
      <c r="F10" s="185"/>
      <c r="G10" s="177"/>
      <c r="H10" s="178"/>
      <c r="I10" s="179"/>
      <c r="J10" s="180"/>
      <c r="K10" s="186"/>
      <c r="L10" s="180">
        <f>ROUND((G10*H10*J10)+(G10*I10*K10),4)</f>
        <v>0</v>
      </c>
    </row>
    <row r="11" spans="1:15" s="164" customFormat="1" ht="13" hidden="1" customHeight="1" x14ac:dyDescent="0.25">
      <c r="A11" s="181"/>
      <c r="B11" s="182"/>
      <c r="C11" s="183"/>
      <c r="D11" s="184"/>
      <c r="E11" s="166"/>
      <c r="F11" s="185"/>
      <c r="G11" s="177"/>
      <c r="H11" s="178"/>
      <c r="I11" s="179"/>
      <c r="J11" s="180"/>
      <c r="K11" s="186"/>
      <c r="L11" s="180">
        <f>ROUND((G11*H11*J11)+(G11*I11*K11),4)</f>
        <v>0</v>
      </c>
    </row>
    <row r="12" spans="1:15" s="164" customFormat="1" ht="13" hidden="1" customHeight="1" x14ac:dyDescent="0.25">
      <c r="A12" s="187"/>
      <c r="B12" s="188"/>
      <c r="C12" s="169"/>
      <c r="D12" s="188"/>
      <c r="E12" s="188"/>
      <c r="F12" s="189"/>
      <c r="G12" s="190"/>
      <c r="H12" s="178"/>
      <c r="I12" s="179"/>
      <c r="J12" s="191"/>
      <c r="K12" s="186"/>
      <c r="L12" s="180">
        <f>ROUND((G12*H12*J12)+(G12*I12*K12),4)</f>
        <v>0</v>
      </c>
    </row>
    <row r="13" spans="1:15" s="164" customFormat="1" ht="14.15" customHeight="1" x14ac:dyDescent="0.25">
      <c r="A13" s="635" t="s">
        <v>525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7"/>
      <c r="L13" s="192">
        <f>ROUND(SUM(L9:L12),4)</f>
        <v>0</v>
      </c>
    </row>
    <row r="14" spans="1:15" s="164" customFormat="1" ht="3" customHeight="1" x14ac:dyDescent="0.25">
      <c r="A14" s="193"/>
      <c r="B14" s="193"/>
      <c r="C14" s="193"/>
      <c r="D14" s="193"/>
      <c r="E14" s="193"/>
      <c r="F14" s="193"/>
      <c r="G14" s="193"/>
      <c r="H14" s="194"/>
      <c r="I14" s="194"/>
      <c r="J14" s="194"/>
      <c r="K14" s="194"/>
      <c r="L14" s="194"/>
    </row>
    <row r="15" spans="1:15" s="164" customFormat="1" ht="14.15" customHeight="1" x14ac:dyDescent="0.25">
      <c r="A15" s="620" t="s">
        <v>526</v>
      </c>
      <c r="B15" s="621"/>
      <c r="C15" s="621"/>
      <c r="D15" s="621"/>
      <c r="E15" s="621"/>
      <c r="F15" s="621"/>
      <c r="G15" s="621"/>
      <c r="H15" s="621"/>
      <c r="I15" s="622"/>
      <c r="J15" s="626" t="s">
        <v>131</v>
      </c>
      <c r="K15" s="641" t="s">
        <v>527</v>
      </c>
      <c r="L15" s="167" t="s">
        <v>528</v>
      </c>
    </row>
    <row r="16" spans="1:15" s="164" customFormat="1" ht="14.15" customHeight="1" x14ac:dyDescent="0.25">
      <c r="A16" s="638"/>
      <c r="B16" s="639"/>
      <c r="C16" s="639"/>
      <c r="D16" s="639"/>
      <c r="E16" s="639"/>
      <c r="F16" s="639"/>
      <c r="G16" s="639"/>
      <c r="H16" s="639"/>
      <c r="I16" s="640"/>
      <c r="J16" s="627"/>
      <c r="K16" s="642"/>
      <c r="L16" s="170" t="s">
        <v>524</v>
      </c>
    </row>
    <row r="17" spans="1:12" s="164" customFormat="1" ht="14.15" customHeight="1" x14ac:dyDescent="0.25">
      <c r="A17" s="195" t="s">
        <v>529</v>
      </c>
      <c r="B17" s="196">
        <v>94296</v>
      </c>
      <c r="C17" s="173" t="s">
        <v>530</v>
      </c>
      <c r="D17" s="174" t="s">
        <v>531</v>
      </c>
      <c r="E17" s="174"/>
      <c r="F17" s="174"/>
      <c r="G17" s="175"/>
      <c r="H17" s="173"/>
      <c r="I17" s="197"/>
      <c r="J17" s="198">
        <v>1</v>
      </c>
      <c r="K17" s="199">
        <v>4069.87</v>
      </c>
      <c r="L17" s="200">
        <f>ROUND(J17*K17,4)</f>
        <v>4069.87</v>
      </c>
    </row>
    <row r="18" spans="1:12" s="164" customFormat="1" ht="14.15" customHeight="1" x14ac:dyDescent="0.25">
      <c r="A18" s="201" t="s">
        <v>529</v>
      </c>
      <c r="B18" s="202">
        <v>93572</v>
      </c>
      <c r="C18" s="183" t="s">
        <v>530</v>
      </c>
      <c r="D18" s="184" t="s">
        <v>532</v>
      </c>
      <c r="E18" s="184"/>
      <c r="F18" s="184"/>
      <c r="G18" s="166"/>
      <c r="H18" s="183"/>
      <c r="I18" s="203"/>
      <c r="J18" s="204">
        <v>1</v>
      </c>
      <c r="K18" s="205">
        <v>5704.29</v>
      </c>
      <c r="L18" s="206">
        <f>ROUND(J18*K18,4)</f>
        <v>5704.29</v>
      </c>
    </row>
    <row r="19" spans="1:12" s="164" customFormat="1" ht="14.15" hidden="1" customHeight="1" x14ac:dyDescent="0.25">
      <c r="A19" s="207">
        <v>0</v>
      </c>
      <c r="B19" s="208">
        <v>0</v>
      </c>
      <c r="C19" s="209"/>
      <c r="D19" s="210">
        <v>0</v>
      </c>
      <c r="E19" s="210"/>
      <c r="F19" s="210"/>
      <c r="G19" s="211"/>
      <c r="H19" s="209"/>
      <c r="I19" s="212"/>
      <c r="J19" s="204">
        <v>0</v>
      </c>
      <c r="K19" s="213">
        <v>0</v>
      </c>
      <c r="L19" s="206">
        <f>ROUND(J19*K19,4)</f>
        <v>0</v>
      </c>
    </row>
    <row r="20" spans="1:12" s="164" customFormat="1" ht="14.15" hidden="1" customHeight="1" x14ac:dyDescent="0.25">
      <c r="A20" s="207"/>
      <c r="B20" s="208"/>
      <c r="C20" s="209"/>
      <c r="D20" s="210"/>
      <c r="E20" s="210"/>
      <c r="F20" s="210"/>
      <c r="G20" s="211"/>
      <c r="H20" s="209"/>
      <c r="I20" s="212"/>
      <c r="J20" s="214"/>
      <c r="K20" s="213"/>
      <c r="L20" s="206">
        <f>ROUND(J20*K20,4)</f>
        <v>0</v>
      </c>
    </row>
    <row r="21" spans="1:12" s="164" customFormat="1" ht="13" hidden="1" customHeight="1" x14ac:dyDescent="0.25">
      <c r="A21" s="215"/>
      <c r="B21" s="216"/>
      <c r="C21" s="217"/>
      <c r="D21" s="217"/>
      <c r="E21" s="217"/>
      <c r="F21" s="217"/>
      <c r="G21" s="218"/>
      <c r="H21" s="219"/>
      <c r="I21" s="220"/>
      <c r="J21" s="221"/>
      <c r="K21" s="213"/>
      <c r="L21" s="206">
        <f>ROUND(J21*K21,4)</f>
        <v>0</v>
      </c>
    </row>
    <row r="22" spans="1:12" s="164" customFormat="1" ht="14.15" customHeight="1" x14ac:dyDescent="0.25">
      <c r="A22" s="635" t="s">
        <v>533</v>
      </c>
      <c r="B22" s="636"/>
      <c r="C22" s="636"/>
      <c r="D22" s="636"/>
      <c r="E22" s="636"/>
      <c r="F22" s="636"/>
      <c r="G22" s="636"/>
      <c r="H22" s="636"/>
      <c r="I22" s="636"/>
      <c r="J22" s="636"/>
      <c r="K22" s="637"/>
      <c r="L22" s="192">
        <f>ROUND(SUM(L17:L21),4)</f>
        <v>9774.16</v>
      </c>
    </row>
    <row r="23" spans="1:12" s="164" customFormat="1" ht="3" customHeight="1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4"/>
      <c r="K23" s="194"/>
      <c r="L23" s="222"/>
    </row>
    <row r="24" spans="1:12" s="164" customFormat="1" ht="14.15" customHeight="1" x14ac:dyDescent="0.25">
      <c r="A24" s="223"/>
      <c r="B24" s="223"/>
      <c r="C24" s="223"/>
      <c r="D24" s="223"/>
      <c r="E24" s="223"/>
      <c r="F24" s="223"/>
      <c r="G24" s="223"/>
      <c r="H24" s="223"/>
      <c r="I24" s="223"/>
      <c r="J24" s="224"/>
      <c r="K24" s="225" t="s">
        <v>534</v>
      </c>
      <c r="L24" s="226">
        <f>L13+L22</f>
        <v>9774.16</v>
      </c>
    </row>
    <row r="25" spans="1:12" s="164" customFormat="1" ht="14.15" customHeight="1" x14ac:dyDescent="0.25">
      <c r="A25" s="227" t="s">
        <v>535</v>
      </c>
      <c r="B25" s="223"/>
      <c r="C25" s="223"/>
      <c r="D25" s="223"/>
      <c r="E25" s="223"/>
      <c r="F25" s="228">
        <v>1</v>
      </c>
      <c r="G25" s="229" t="str">
        <f>L5</f>
        <v xml:space="preserve">UD </v>
      </c>
      <c r="H25" s="227"/>
      <c r="I25" s="223"/>
      <c r="J25" s="230"/>
      <c r="K25" s="231" t="s">
        <v>536</v>
      </c>
      <c r="L25" s="232">
        <f>ROUND(L24/F25,4)</f>
        <v>9774.16</v>
      </c>
    </row>
    <row r="26" spans="1:12" s="164" customFormat="1" ht="14.15" customHeight="1" x14ac:dyDescent="0.25">
      <c r="A26" s="227"/>
      <c r="B26" s="223" t="s">
        <v>537</v>
      </c>
      <c r="C26" s="223"/>
      <c r="D26" s="223"/>
      <c r="E26" s="223"/>
      <c r="F26" s="228"/>
      <c r="G26" s="229"/>
      <c r="H26" s="227"/>
      <c r="I26" s="223"/>
      <c r="J26" s="230"/>
      <c r="K26" s="225" t="s">
        <v>538</v>
      </c>
      <c r="L26" s="232">
        <f>ROUND(L25*F26,4)</f>
        <v>0</v>
      </c>
    </row>
    <row r="27" spans="1:12" s="164" customFormat="1" ht="14.15" customHeight="1" x14ac:dyDescent="0.25">
      <c r="A27" s="227"/>
      <c r="B27" s="223" t="s">
        <v>539</v>
      </c>
      <c r="C27" s="223"/>
      <c r="D27" s="223"/>
      <c r="E27" s="223"/>
      <c r="F27" s="233">
        <v>0</v>
      </c>
      <c r="G27" s="229"/>
      <c r="H27" s="230"/>
      <c r="I27" s="234"/>
      <c r="J27" s="224"/>
      <c r="K27" s="225" t="s">
        <v>540</v>
      </c>
      <c r="L27" s="232">
        <f>ROUND(L25*F27,4)</f>
        <v>0</v>
      </c>
    </row>
    <row r="28" spans="1:12" s="164" customFormat="1" ht="3" customHeight="1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4"/>
      <c r="K28" s="194"/>
      <c r="L28" s="222"/>
    </row>
    <row r="29" spans="1:12" s="164" customFormat="1" ht="14.15" customHeight="1" x14ac:dyDescent="0.25">
      <c r="A29" s="643" t="s">
        <v>541</v>
      </c>
      <c r="B29" s="644"/>
      <c r="C29" s="644"/>
      <c r="D29" s="644"/>
      <c r="E29" s="644"/>
      <c r="F29" s="644"/>
      <c r="G29" s="644"/>
      <c r="H29" s="645"/>
      <c r="I29" s="646" t="s">
        <v>542</v>
      </c>
      <c r="J29" s="647"/>
      <c r="K29" s="648"/>
      <c r="L29" s="235">
        <f>ROUND(SUM(L25:L28),4)</f>
        <v>9774.16</v>
      </c>
    </row>
    <row r="30" spans="1:12" s="164" customFormat="1" ht="3" customHeight="1" x14ac:dyDescent="0.25">
      <c r="A30" s="166"/>
      <c r="B30" s="166"/>
      <c r="C30" s="166"/>
      <c r="D30" s="166"/>
      <c r="E30" s="166"/>
      <c r="F30" s="166"/>
      <c r="G30" s="236"/>
      <c r="H30" s="236"/>
      <c r="I30" s="237"/>
      <c r="J30" s="237"/>
      <c r="K30" s="237"/>
      <c r="L30" s="166"/>
    </row>
    <row r="31" spans="1:12" s="164" customFormat="1" ht="14.15" customHeight="1" x14ac:dyDescent="0.25">
      <c r="A31" s="620" t="s">
        <v>543</v>
      </c>
      <c r="B31" s="621"/>
      <c r="C31" s="621"/>
      <c r="D31" s="621"/>
      <c r="E31" s="621"/>
      <c r="F31" s="621"/>
      <c r="G31" s="622"/>
      <c r="H31" s="649" t="s">
        <v>131</v>
      </c>
      <c r="I31" s="650"/>
      <c r="J31" s="626" t="s">
        <v>130</v>
      </c>
      <c r="K31" s="167" t="s">
        <v>544</v>
      </c>
      <c r="L31" s="167" t="s">
        <v>521</v>
      </c>
    </row>
    <row r="32" spans="1:12" s="164" customFormat="1" ht="14.15" customHeight="1" x14ac:dyDescent="0.25">
      <c r="A32" s="638"/>
      <c r="B32" s="639"/>
      <c r="C32" s="639"/>
      <c r="D32" s="639"/>
      <c r="E32" s="639"/>
      <c r="F32" s="639"/>
      <c r="G32" s="640"/>
      <c r="H32" s="651"/>
      <c r="I32" s="652"/>
      <c r="J32" s="627"/>
      <c r="K32" s="238" t="s">
        <v>545</v>
      </c>
      <c r="L32" s="170" t="s">
        <v>545</v>
      </c>
    </row>
    <row r="33" spans="1:16" s="164" customFormat="1" ht="14.15" hidden="1" customHeight="1" x14ac:dyDescent="0.25">
      <c r="A33" s="207"/>
      <c r="B33" s="239"/>
      <c r="C33" s="210"/>
      <c r="D33" s="211"/>
      <c r="E33" s="210"/>
      <c r="F33" s="210"/>
      <c r="G33" s="240"/>
      <c r="H33" s="633">
        <v>0</v>
      </c>
      <c r="I33" s="634"/>
      <c r="J33" s="241"/>
      <c r="K33" s="213"/>
      <c r="L33" s="180">
        <f>ROUND(K33*H33,4)</f>
        <v>0</v>
      </c>
    </row>
    <row r="34" spans="1:16" s="164" customFormat="1" ht="14.15" hidden="1" customHeight="1" x14ac:dyDescent="0.25">
      <c r="A34" s="207"/>
      <c r="B34" s="239"/>
      <c r="C34" s="210"/>
      <c r="D34" s="211"/>
      <c r="E34" s="210"/>
      <c r="F34" s="210"/>
      <c r="G34" s="240"/>
      <c r="H34" s="633"/>
      <c r="I34" s="634"/>
      <c r="J34" s="241"/>
      <c r="K34" s="213"/>
      <c r="L34" s="180">
        <f>ROUND(K34*H34,4)</f>
        <v>0</v>
      </c>
    </row>
    <row r="35" spans="1:16" s="164" customFormat="1" ht="14.15" hidden="1" customHeight="1" x14ac:dyDescent="0.25">
      <c r="A35" s="207"/>
      <c r="B35" s="208"/>
      <c r="C35" s="209"/>
      <c r="D35" s="631"/>
      <c r="E35" s="631"/>
      <c r="F35" s="631"/>
      <c r="G35" s="632"/>
      <c r="H35" s="633"/>
      <c r="I35" s="634"/>
      <c r="J35" s="242"/>
      <c r="K35" s="213"/>
      <c r="L35" s="180">
        <f>ROUND(K35*H35,4)</f>
        <v>0</v>
      </c>
    </row>
    <row r="36" spans="1:16" s="164" customFormat="1" ht="14.15" hidden="1" customHeight="1" x14ac:dyDescent="0.25">
      <c r="A36" s="207"/>
      <c r="B36" s="243"/>
      <c r="C36" s="209"/>
      <c r="D36" s="210"/>
      <c r="E36" s="210"/>
      <c r="F36" s="210"/>
      <c r="G36" s="240"/>
      <c r="H36" s="633"/>
      <c r="I36" s="634"/>
      <c r="J36" s="242"/>
      <c r="K36" s="213"/>
      <c r="L36" s="180">
        <f>ROUND(K36*H36,4)</f>
        <v>0</v>
      </c>
    </row>
    <row r="37" spans="1:16" s="164" customFormat="1" ht="13" hidden="1" customHeight="1" x14ac:dyDescent="0.25">
      <c r="A37" s="244"/>
      <c r="B37" s="245"/>
      <c r="C37" s="209"/>
      <c r="D37" s="217"/>
      <c r="E37" s="217"/>
      <c r="F37" s="217"/>
      <c r="G37" s="246"/>
      <c r="H37" s="633"/>
      <c r="I37" s="634"/>
      <c r="J37" s="242"/>
      <c r="K37" s="213"/>
      <c r="L37" s="180">
        <f>ROUND(K37*H37,4)</f>
        <v>0</v>
      </c>
    </row>
    <row r="38" spans="1:16" s="164" customFormat="1" ht="13.5" customHeight="1" x14ac:dyDescent="0.25">
      <c r="A38" s="653" t="s">
        <v>546</v>
      </c>
      <c r="B38" s="654"/>
      <c r="C38" s="654"/>
      <c r="D38" s="654"/>
      <c r="E38" s="654"/>
      <c r="F38" s="654"/>
      <c r="G38" s="654"/>
      <c r="H38" s="654"/>
      <c r="I38" s="654"/>
      <c r="J38" s="654"/>
      <c r="K38" s="655"/>
      <c r="L38" s="235">
        <f>ROUND(SUM(L33:L37),4)</f>
        <v>0</v>
      </c>
    </row>
    <row r="39" spans="1:16" s="164" customFormat="1" ht="3" customHeight="1" x14ac:dyDescent="0.25">
      <c r="A39" s="175"/>
      <c r="B39" s="175"/>
      <c r="C39" s="175"/>
      <c r="D39" s="175"/>
      <c r="E39" s="175"/>
      <c r="F39" s="175"/>
      <c r="G39" s="175"/>
      <c r="H39" s="175"/>
      <c r="I39" s="175"/>
      <c r="J39" s="166"/>
      <c r="K39" s="247"/>
      <c r="L39" s="248"/>
    </row>
    <row r="40" spans="1:16" s="164" customFormat="1" ht="14.15" customHeight="1" x14ac:dyDescent="0.25">
      <c r="A40" s="620" t="s">
        <v>547</v>
      </c>
      <c r="B40" s="621"/>
      <c r="C40" s="621"/>
      <c r="D40" s="621"/>
      <c r="E40" s="621"/>
      <c r="F40" s="622"/>
      <c r="G40" s="641" t="s">
        <v>548</v>
      </c>
      <c r="H40" s="628" t="s">
        <v>549</v>
      </c>
      <c r="I40" s="630"/>
      <c r="J40" s="630"/>
      <c r="K40" s="629"/>
      <c r="L40" s="626" t="s">
        <v>550</v>
      </c>
    </row>
    <row r="41" spans="1:16" s="164" customFormat="1" ht="14.15" customHeight="1" x14ac:dyDescent="0.25">
      <c r="A41" s="623"/>
      <c r="B41" s="624"/>
      <c r="C41" s="624"/>
      <c r="D41" s="624"/>
      <c r="E41" s="624"/>
      <c r="F41" s="625"/>
      <c r="G41" s="656"/>
      <c r="H41" s="249" t="s">
        <v>551</v>
      </c>
      <c r="I41" s="250" t="s">
        <v>552</v>
      </c>
      <c r="J41" s="251" t="s">
        <v>553</v>
      </c>
      <c r="K41" s="238" t="s">
        <v>554</v>
      </c>
      <c r="L41" s="659"/>
    </row>
    <row r="42" spans="1:16" s="164" customFormat="1" ht="14.15" customHeight="1" x14ac:dyDescent="0.25">
      <c r="A42" s="638"/>
      <c r="B42" s="639"/>
      <c r="C42" s="639"/>
      <c r="D42" s="639"/>
      <c r="E42" s="639"/>
      <c r="F42" s="640"/>
      <c r="G42" s="642"/>
      <c r="H42" s="168" t="s">
        <v>555</v>
      </c>
      <c r="I42" s="252"/>
      <c r="J42" s="252"/>
      <c r="K42" s="252"/>
      <c r="L42" s="627"/>
    </row>
    <row r="43" spans="1:16" s="164" customFormat="1" ht="14.15" hidden="1" customHeight="1" x14ac:dyDescent="0.25">
      <c r="A43" s="660"/>
      <c r="B43" s="662"/>
      <c r="C43" s="664"/>
      <c r="D43" s="666"/>
      <c r="E43" s="666"/>
      <c r="F43" s="658"/>
      <c r="G43" s="669"/>
      <c r="H43" s="253" t="s">
        <v>556</v>
      </c>
      <c r="I43" s="254"/>
      <c r="J43" s="254"/>
      <c r="K43" s="254"/>
      <c r="L43" s="671">
        <f>ROUND(G43*($I$42*I44+$J$42*J44+$K$42*K44),4)</f>
        <v>0</v>
      </c>
      <c r="P43" s="255"/>
    </row>
    <row r="44" spans="1:16" s="164" customFormat="1" ht="14.15" hidden="1" customHeight="1" x14ac:dyDescent="0.25">
      <c r="A44" s="661"/>
      <c r="B44" s="663"/>
      <c r="C44" s="665"/>
      <c r="D44" s="667"/>
      <c r="E44" s="667"/>
      <c r="F44" s="668"/>
      <c r="G44" s="670"/>
      <c r="H44" s="256" t="s">
        <v>557</v>
      </c>
      <c r="I44" s="257"/>
      <c r="J44" s="257"/>
      <c r="K44" s="257"/>
      <c r="L44" s="672"/>
    </row>
    <row r="45" spans="1:16" s="164" customFormat="1" ht="14.15" hidden="1" customHeight="1" x14ac:dyDescent="0.25">
      <c r="A45" s="181"/>
      <c r="B45" s="258"/>
      <c r="C45" s="259"/>
      <c r="D45" s="260"/>
      <c r="E45" s="260"/>
      <c r="F45" s="261"/>
      <c r="G45" s="262"/>
      <c r="H45" s="263"/>
      <c r="I45" s="264"/>
      <c r="J45" s="263"/>
      <c r="K45" s="264"/>
      <c r="L45" s="180"/>
    </row>
    <row r="46" spans="1:16" s="164" customFormat="1" ht="14.15" hidden="1" customHeight="1" x14ac:dyDescent="0.25">
      <c r="A46" s="265"/>
      <c r="B46" s="183"/>
      <c r="C46" s="183"/>
      <c r="D46" s="188"/>
      <c r="E46" s="188"/>
      <c r="F46" s="188"/>
      <c r="G46" s="266"/>
      <c r="H46" s="267"/>
      <c r="I46" s="267"/>
      <c r="J46" s="267"/>
      <c r="K46" s="267"/>
      <c r="L46" s="268">
        <f>G46*H46*K46</f>
        <v>0</v>
      </c>
    </row>
    <row r="47" spans="1:16" s="164" customFormat="1" ht="14.15" customHeight="1" x14ac:dyDescent="0.25">
      <c r="A47" s="653" t="s">
        <v>558</v>
      </c>
      <c r="B47" s="654"/>
      <c r="C47" s="654"/>
      <c r="D47" s="654"/>
      <c r="E47" s="654"/>
      <c r="F47" s="654"/>
      <c r="G47" s="654"/>
      <c r="H47" s="654"/>
      <c r="I47" s="654"/>
      <c r="J47" s="654"/>
      <c r="K47" s="655"/>
      <c r="L47" s="269">
        <f>ROUND(SUM(L43:L46),4)</f>
        <v>0</v>
      </c>
    </row>
    <row r="48" spans="1:16" s="164" customFormat="1" ht="3" customHeight="1" x14ac:dyDescent="0.25">
      <c r="A48" s="174"/>
      <c r="B48" s="174"/>
      <c r="C48" s="174"/>
      <c r="D48" s="174"/>
      <c r="E48" s="174"/>
      <c r="F48" s="174"/>
      <c r="G48" s="175"/>
      <c r="H48" s="173"/>
      <c r="I48" s="173"/>
      <c r="J48" s="270"/>
      <c r="K48" s="271"/>
      <c r="L48" s="272"/>
    </row>
    <row r="49" spans="1:12" s="164" customFormat="1" ht="10.5" x14ac:dyDescent="0.25">
      <c r="A49" s="653" t="s">
        <v>559</v>
      </c>
      <c r="B49" s="654"/>
      <c r="C49" s="654"/>
      <c r="D49" s="654"/>
      <c r="E49" s="654"/>
      <c r="F49" s="654"/>
      <c r="G49" s="654"/>
      <c r="H49" s="654"/>
      <c r="I49" s="654"/>
      <c r="J49" s="654"/>
      <c r="K49" s="655"/>
      <c r="L49" s="269">
        <f>ROUND(L29+L38+L47,4)</f>
        <v>9774.16</v>
      </c>
    </row>
    <row r="50" spans="1:12" s="164" customFormat="1" ht="10.5" x14ac:dyDescent="0.25">
      <c r="A50" s="646" t="s">
        <v>560</v>
      </c>
      <c r="B50" s="647"/>
      <c r="C50" s="647"/>
      <c r="D50" s="647"/>
      <c r="E50" s="647"/>
      <c r="F50" s="647"/>
      <c r="G50" s="647"/>
      <c r="H50" s="647"/>
      <c r="I50" s="647"/>
      <c r="J50" s="647"/>
      <c r="K50" s="273">
        <v>0.26140000000000002</v>
      </c>
      <c r="L50" s="274">
        <f>ROUND(L49*K50,4)</f>
        <v>2554.9654</v>
      </c>
    </row>
    <row r="51" spans="1:12" s="164" customFormat="1" ht="10.5" x14ac:dyDescent="0.25">
      <c r="A51" s="646" t="s">
        <v>561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8"/>
      <c r="L51" s="275">
        <f>ROUND(L49+L50,2)</f>
        <v>12329.13</v>
      </c>
    </row>
    <row r="52" spans="1:12" s="164" customFormat="1" ht="10.5" x14ac:dyDescent="0.25">
      <c r="A52" s="646" t="s">
        <v>562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8"/>
      <c r="L52" s="276">
        <f>ROUND(L51*G26,2)</f>
        <v>0</v>
      </c>
    </row>
    <row r="53" spans="1:12" s="164" customFormat="1" ht="3" customHeight="1" x14ac:dyDescent="0.25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</row>
    <row r="54" spans="1:12" s="164" customFormat="1" ht="10.5" x14ac:dyDescent="0.25">
      <c r="A54" s="277" t="s">
        <v>563</v>
      </c>
      <c r="B54" s="278"/>
      <c r="C54" s="279" t="s">
        <v>564</v>
      </c>
      <c r="D54" s="657" t="s">
        <v>565</v>
      </c>
      <c r="E54" s="657"/>
      <c r="F54" s="657"/>
      <c r="G54" s="657"/>
      <c r="H54" s="657"/>
      <c r="I54" s="657"/>
      <c r="J54" s="657"/>
      <c r="K54" s="657"/>
      <c r="L54" s="658"/>
    </row>
    <row r="55" spans="1:12" s="164" customFormat="1" ht="13" customHeight="1" x14ac:dyDescent="0.25">
      <c r="A55" s="280"/>
      <c r="B55" s="281"/>
      <c r="C55" s="236" t="s">
        <v>566</v>
      </c>
      <c r="D55" s="166" t="s">
        <v>567</v>
      </c>
      <c r="E55" s="282"/>
      <c r="F55" s="282"/>
      <c r="G55" s="282"/>
      <c r="H55" s="282"/>
      <c r="I55" s="282"/>
      <c r="J55" s="282"/>
      <c r="K55" s="282"/>
      <c r="L55" s="283"/>
    </row>
    <row r="56" spans="1:12" s="164" customFormat="1" ht="13" customHeight="1" x14ac:dyDescent="0.25">
      <c r="A56" s="284"/>
      <c r="B56" s="285"/>
      <c r="C56" s="286"/>
      <c r="D56" s="286"/>
      <c r="E56" s="286"/>
      <c r="F56" s="286"/>
      <c r="G56" s="286"/>
      <c r="H56" s="286"/>
      <c r="I56" s="286"/>
      <c r="J56" s="286"/>
      <c r="K56" s="286"/>
      <c r="L56" s="287"/>
    </row>
  </sheetData>
  <mergeCells count="41">
    <mergeCell ref="D54:L54"/>
    <mergeCell ref="L40:L42"/>
    <mergeCell ref="A43:A44"/>
    <mergeCell ref="B43:B44"/>
    <mergeCell ref="C43:C44"/>
    <mergeCell ref="D43:E44"/>
    <mergeCell ref="F43:F44"/>
    <mergeCell ref="G43:G44"/>
    <mergeCell ref="L43:L44"/>
    <mergeCell ref="A47:K47"/>
    <mergeCell ref="A49:K49"/>
    <mergeCell ref="A50:J50"/>
    <mergeCell ref="A51:K51"/>
    <mergeCell ref="A52:K52"/>
    <mergeCell ref="H36:I36"/>
    <mergeCell ref="H37:I37"/>
    <mergeCell ref="A38:K38"/>
    <mergeCell ref="A40:F42"/>
    <mergeCell ref="G40:G42"/>
    <mergeCell ref="H40:K40"/>
    <mergeCell ref="D35:G35"/>
    <mergeCell ref="H35:I35"/>
    <mergeCell ref="A13:K13"/>
    <mergeCell ref="A15:I16"/>
    <mergeCell ref="J15:J16"/>
    <mergeCell ref="K15:K16"/>
    <mergeCell ref="A22:K22"/>
    <mergeCell ref="A29:H29"/>
    <mergeCell ref="I29:K29"/>
    <mergeCell ref="A31:G32"/>
    <mergeCell ref="H31:I32"/>
    <mergeCell ref="J31:J32"/>
    <mergeCell ref="H33:I33"/>
    <mergeCell ref="H34:I34"/>
    <mergeCell ref="A2:K3"/>
    <mergeCell ref="L3:L4"/>
    <mergeCell ref="E5:J5"/>
    <mergeCell ref="A7:F8"/>
    <mergeCell ref="G7:G8"/>
    <mergeCell ref="H7:I7"/>
    <mergeCell ref="J7:K7"/>
  </mergeCells>
  <printOptions horizontalCentered="1"/>
  <pageMargins left="0.47878787878787876" right="0.39370078740157483" top="0.39370078740157483" bottom="0.39370078740157483" header="0" footer="0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C752-F895-4AB7-9EBA-3A1AD4749E82}">
  <dimension ref="A1:L122"/>
  <sheetViews>
    <sheetView showZeros="0" topLeftCell="A5" zoomScaleNormal="100" zoomScaleSheetLayoutView="100" zoomScalePageLayoutView="85" workbookViewId="0">
      <selection activeCell="D35" sqref="D35"/>
    </sheetView>
  </sheetViews>
  <sheetFormatPr defaultRowHeight="15" customHeight="1" x14ac:dyDescent="0.2"/>
  <cols>
    <col min="1" max="2" width="7.7265625" style="156" customWidth="1"/>
    <col min="3" max="3" width="0.81640625" style="156" customWidth="1"/>
    <col min="4" max="4" width="3.7265625" style="156" customWidth="1"/>
    <col min="5" max="5" width="23.7265625" style="156" customWidth="1"/>
    <col min="6" max="6" width="12.7265625" style="156" customWidth="1"/>
    <col min="7" max="11" width="8.7265625" style="156" customWidth="1"/>
    <col min="12" max="12" width="10.7265625" style="156" customWidth="1"/>
    <col min="13" max="14" width="9.1796875" style="156" customWidth="1"/>
    <col min="15" max="256" width="9.1796875" style="156"/>
    <col min="257" max="258" width="7.7265625" style="156" customWidth="1"/>
    <col min="259" max="259" width="0.81640625" style="156" customWidth="1"/>
    <col min="260" max="260" width="3.7265625" style="156" customWidth="1"/>
    <col min="261" max="261" width="23.7265625" style="156" customWidth="1"/>
    <col min="262" max="262" width="12.7265625" style="156" customWidth="1"/>
    <col min="263" max="267" width="8.7265625" style="156" customWidth="1"/>
    <col min="268" max="268" width="10.7265625" style="156" customWidth="1"/>
    <col min="269" max="512" width="9.1796875" style="156"/>
    <col min="513" max="514" width="7.7265625" style="156" customWidth="1"/>
    <col min="515" max="515" width="0.81640625" style="156" customWidth="1"/>
    <col min="516" max="516" width="3.7265625" style="156" customWidth="1"/>
    <col min="517" max="517" width="23.7265625" style="156" customWidth="1"/>
    <col min="518" max="518" width="12.7265625" style="156" customWidth="1"/>
    <col min="519" max="523" width="8.7265625" style="156" customWidth="1"/>
    <col min="524" max="524" width="10.7265625" style="156" customWidth="1"/>
    <col min="525" max="768" width="9.1796875" style="156"/>
    <col min="769" max="770" width="7.7265625" style="156" customWidth="1"/>
    <col min="771" max="771" width="0.81640625" style="156" customWidth="1"/>
    <col min="772" max="772" width="3.7265625" style="156" customWidth="1"/>
    <col min="773" max="773" width="23.7265625" style="156" customWidth="1"/>
    <col min="774" max="774" width="12.7265625" style="156" customWidth="1"/>
    <col min="775" max="779" width="8.7265625" style="156" customWidth="1"/>
    <col min="780" max="780" width="10.7265625" style="156" customWidth="1"/>
    <col min="781" max="1024" width="9.1796875" style="156"/>
    <col min="1025" max="1026" width="7.7265625" style="156" customWidth="1"/>
    <col min="1027" max="1027" width="0.81640625" style="156" customWidth="1"/>
    <col min="1028" max="1028" width="3.7265625" style="156" customWidth="1"/>
    <col min="1029" max="1029" width="23.7265625" style="156" customWidth="1"/>
    <col min="1030" max="1030" width="12.7265625" style="156" customWidth="1"/>
    <col min="1031" max="1035" width="8.7265625" style="156" customWidth="1"/>
    <col min="1036" max="1036" width="10.7265625" style="156" customWidth="1"/>
    <col min="1037" max="1280" width="9.1796875" style="156"/>
    <col min="1281" max="1282" width="7.7265625" style="156" customWidth="1"/>
    <col min="1283" max="1283" width="0.81640625" style="156" customWidth="1"/>
    <col min="1284" max="1284" width="3.7265625" style="156" customWidth="1"/>
    <col min="1285" max="1285" width="23.7265625" style="156" customWidth="1"/>
    <col min="1286" max="1286" width="12.7265625" style="156" customWidth="1"/>
    <col min="1287" max="1291" width="8.7265625" style="156" customWidth="1"/>
    <col min="1292" max="1292" width="10.7265625" style="156" customWidth="1"/>
    <col min="1293" max="1536" width="9.1796875" style="156"/>
    <col min="1537" max="1538" width="7.7265625" style="156" customWidth="1"/>
    <col min="1539" max="1539" width="0.81640625" style="156" customWidth="1"/>
    <col min="1540" max="1540" width="3.7265625" style="156" customWidth="1"/>
    <col min="1541" max="1541" width="23.7265625" style="156" customWidth="1"/>
    <col min="1542" max="1542" width="12.7265625" style="156" customWidth="1"/>
    <col min="1543" max="1547" width="8.7265625" style="156" customWidth="1"/>
    <col min="1548" max="1548" width="10.7265625" style="156" customWidth="1"/>
    <col min="1549" max="1792" width="9.1796875" style="156"/>
    <col min="1793" max="1794" width="7.7265625" style="156" customWidth="1"/>
    <col min="1795" max="1795" width="0.81640625" style="156" customWidth="1"/>
    <col min="1796" max="1796" width="3.7265625" style="156" customWidth="1"/>
    <col min="1797" max="1797" width="23.7265625" style="156" customWidth="1"/>
    <col min="1798" max="1798" width="12.7265625" style="156" customWidth="1"/>
    <col min="1799" max="1803" width="8.7265625" style="156" customWidth="1"/>
    <col min="1804" max="1804" width="10.7265625" style="156" customWidth="1"/>
    <col min="1805" max="2048" width="9.1796875" style="156"/>
    <col min="2049" max="2050" width="7.7265625" style="156" customWidth="1"/>
    <col min="2051" max="2051" width="0.81640625" style="156" customWidth="1"/>
    <col min="2052" max="2052" width="3.7265625" style="156" customWidth="1"/>
    <col min="2053" max="2053" width="23.7265625" style="156" customWidth="1"/>
    <col min="2054" max="2054" width="12.7265625" style="156" customWidth="1"/>
    <col min="2055" max="2059" width="8.7265625" style="156" customWidth="1"/>
    <col min="2060" max="2060" width="10.7265625" style="156" customWidth="1"/>
    <col min="2061" max="2304" width="9.1796875" style="156"/>
    <col min="2305" max="2306" width="7.7265625" style="156" customWidth="1"/>
    <col min="2307" max="2307" width="0.81640625" style="156" customWidth="1"/>
    <col min="2308" max="2308" width="3.7265625" style="156" customWidth="1"/>
    <col min="2309" max="2309" width="23.7265625" style="156" customWidth="1"/>
    <col min="2310" max="2310" width="12.7265625" style="156" customWidth="1"/>
    <col min="2311" max="2315" width="8.7265625" style="156" customWidth="1"/>
    <col min="2316" max="2316" width="10.7265625" style="156" customWidth="1"/>
    <col min="2317" max="2560" width="9.1796875" style="156"/>
    <col min="2561" max="2562" width="7.7265625" style="156" customWidth="1"/>
    <col min="2563" max="2563" width="0.81640625" style="156" customWidth="1"/>
    <col min="2564" max="2564" width="3.7265625" style="156" customWidth="1"/>
    <col min="2565" max="2565" width="23.7265625" style="156" customWidth="1"/>
    <col min="2566" max="2566" width="12.7265625" style="156" customWidth="1"/>
    <col min="2567" max="2571" width="8.7265625" style="156" customWidth="1"/>
    <col min="2572" max="2572" width="10.7265625" style="156" customWidth="1"/>
    <col min="2573" max="2816" width="9.1796875" style="156"/>
    <col min="2817" max="2818" width="7.7265625" style="156" customWidth="1"/>
    <col min="2819" max="2819" width="0.81640625" style="156" customWidth="1"/>
    <col min="2820" max="2820" width="3.7265625" style="156" customWidth="1"/>
    <col min="2821" max="2821" width="23.7265625" style="156" customWidth="1"/>
    <col min="2822" max="2822" width="12.7265625" style="156" customWidth="1"/>
    <col min="2823" max="2827" width="8.7265625" style="156" customWidth="1"/>
    <col min="2828" max="2828" width="10.7265625" style="156" customWidth="1"/>
    <col min="2829" max="3072" width="9.1796875" style="156"/>
    <col min="3073" max="3074" width="7.7265625" style="156" customWidth="1"/>
    <col min="3075" max="3075" width="0.81640625" style="156" customWidth="1"/>
    <col min="3076" max="3076" width="3.7265625" style="156" customWidth="1"/>
    <col min="3077" max="3077" width="23.7265625" style="156" customWidth="1"/>
    <col min="3078" max="3078" width="12.7265625" style="156" customWidth="1"/>
    <col min="3079" max="3083" width="8.7265625" style="156" customWidth="1"/>
    <col min="3084" max="3084" width="10.7265625" style="156" customWidth="1"/>
    <col min="3085" max="3328" width="9.1796875" style="156"/>
    <col min="3329" max="3330" width="7.7265625" style="156" customWidth="1"/>
    <col min="3331" max="3331" width="0.81640625" style="156" customWidth="1"/>
    <col min="3332" max="3332" width="3.7265625" style="156" customWidth="1"/>
    <col min="3333" max="3333" width="23.7265625" style="156" customWidth="1"/>
    <col min="3334" max="3334" width="12.7265625" style="156" customWidth="1"/>
    <col min="3335" max="3339" width="8.7265625" style="156" customWidth="1"/>
    <col min="3340" max="3340" width="10.7265625" style="156" customWidth="1"/>
    <col min="3341" max="3584" width="9.1796875" style="156"/>
    <col min="3585" max="3586" width="7.7265625" style="156" customWidth="1"/>
    <col min="3587" max="3587" width="0.81640625" style="156" customWidth="1"/>
    <col min="3588" max="3588" width="3.7265625" style="156" customWidth="1"/>
    <col min="3589" max="3589" width="23.7265625" style="156" customWidth="1"/>
    <col min="3590" max="3590" width="12.7265625" style="156" customWidth="1"/>
    <col min="3591" max="3595" width="8.7265625" style="156" customWidth="1"/>
    <col min="3596" max="3596" width="10.7265625" style="156" customWidth="1"/>
    <col min="3597" max="3840" width="9.1796875" style="156"/>
    <col min="3841" max="3842" width="7.7265625" style="156" customWidth="1"/>
    <col min="3843" max="3843" width="0.81640625" style="156" customWidth="1"/>
    <col min="3844" max="3844" width="3.7265625" style="156" customWidth="1"/>
    <col min="3845" max="3845" width="23.7265625" style="156" customWidth="1"/>
    <col min="3846" max="3846" width="12.7265625" style="156" customWidth="1"/>
    <col min="3847" max="3851" width="8.7265625" style="156" customWidth="1"/>
    <col min="3852" max="3852" width="10.7265625" style="156" customWidth="1"/>
    <col min="3853" max="4096" width="9.1796875" style="156"/>
    <col min="4097" max="4098" width="7.7265625" style="156" customWidth="1"/>
    <col min="4099" max="4099" width="0.81640625" style="156" customWidth="1"/>
    <col min="4100" max="4100" width="3.7265625" style="156" customWidth="1"/>
    <col min="4101" max="4101" width="23.7265625" style="156" customWidth="1"/>
    <col min="4102" max="4102" width="12.7265625" style="156" customWidth="1"/>
    <col min="4103" max="4107" width="8.7265625" style="156" customWidth="1"/>
    <col min="4108" max="4108" width="10.7265625" style="156" customWidth="1"/>
    <col min="4109" max="4352" width="9.1796875" style="156"/>
    <col min="4353" max="4354" width="7.7265625" style="156" customWidth="1"/>
    <col min="4355" max="4355" width="0.81640625" style="156" customWidth="1"/>
    <col min="4356" max="4356" width="3.7265625" style="156" customWidth="1"/>
    <col min="4357" max="4357" width="23.7265625" style="156" customWidth="1"/>
    <col min="4358" max="4358" width="12.7265625" style="156" customWidth="1"/>
    <col min="4359" max="4363" width="8.7265625" style="156" customWidth="1"/>
    <col min="4364" max="4364" width="10.7265625" style="156" customWidth="1"/>
    <col min="4365" max="4608" width="9.1796875" style="156"/>
    <col min="4609" max="4610" width="7.7265625" style="156" customWidth="1"/>
    <col min="4611" max="4611" width="0.81640625" style="156" customWidth="1"/>
    <col min="4612" max="4612" width="3.7265625" style="156" customWidth="1"/>
    <col min="4613" max="4613" width="23.7265625" style="156" customWidth="1"/>
    <col min="4614" max="4614" width="12.7265625" style="156" customWidth="1"/>
    <col min="4615" max="4619" width="8.7265625" style="156" customWidth="1"/>
    <col min="4620" max="4620" width="10.7265625" style="156" customWidth="1"/>
    <col min="4621" max="4864" width="9.1796875" style="156"/>
    <col min="4865" max="4866" width="7.7265625" style="156" customWidth="1"/>
    <col min="4867" max="4867" width="0.81640625" style="156" customWidth="1"/>
    <col min="4868" max="4868" width="3.7265625" style="156" customWidth="1"/>
    <col min="4869" max="4869" width="23.7265625" style="156" customWidth="1"/>
    <col min="4870" max="4870" width="12.7265625" style="156" customWidth="1"/>
    <col min="4871" max="4875" width="8.7265625" style="156" customWidth="1"/>
    <col min="4876" max="4876" width="10.7265625" style="156" customWidth="1"/>
    <col min="4877" max="5120" width="9.1796875" style="156"/>
    <col min="5121" max="5122" width="7.7265625" style="156" customWidth="1"/>
    <col min="5123" max="5123" width="0.81640625" style="156" customWidth="1"/>
    <col min="5124" max="5124" width="3.7265625" style="156" customWidth="1"/>
    <col min="5125" max="5125" width="23.7265625" style="156" customWidth="1"/>
    <col min="5126" max="5126" width="12.7265625" style="156" customWidth="1"/>
    <col min="5127" max="5131" width="8.7265625" style="156" customWidth="1"/>
    <col min="5132" max="5132" width="10.7265625" style="156" customWidth="1"/>
    <col min="5133" max="5376" width="9.1796875" style="156"/>
    <col min="5377" max="5378" width="7.7265625" style="156" customWidth="1"/>
    <col min="5379" max="5379" width="0.81640625" style="156" customWidth="1"/>
    <col min="5380" max="5380" width="3.7265625" style="156" customWidth="1"/>
    <col min="5381" max="5381" width="23.7265625" style="156" customWidth="1"/>
    <col min="5382" max="5382" width="12.7265625" style="156" customWidth="1"/>
    <col min="5383" max="5387" width="8.7265625" style="156" customWidth="1"/>
    <col min="5388" max="5388" width="10.7265625" style="156" customWidth="1"/>
    <col min="5389" max="5632" width="9.1796875" style="156"/>
    <col min="5633" max="5634" width="7.7265625" style="156" customWidth="1"/>
    <col min="5635" max="5635" width="0.81640625" style="156" customWidth="1"/>
    <col min="5636" max="5636" width="3.7265625" style="156" customWidth="1"/>
    <col min="5637" max="5637" width="23.7265625" style="156" customWidth="1"/>
    <col min="5638" max="5638" width="12.7265625" style="156" customWidth="1"/>
    <col min="5639" max="5643" width="8.7265625" style="156" customWidth="1"/>
    <col min="5644" max="5644" width="10.7265625" style="156" customWidth="1"/>
    <col min="5645" max="5888" width="9.1796875" style="156"/>
    <col min="5889" max="5890" width="7.7265625" style="156" customWidth="1"/>
    <col min="5891" max="5891" width="0.81640625" style="156" customWidth="1"/>
    <col min="5892" max="5892" width="3.7265625" style="156" customWidth="1"/>
    <col min="5893" max="5893" width="23.7265625" style="156" customWidth="1"/>
    <col min="5894" max="5894" width="12.7265625" style="156" customWidth="1"/>
    <col min="5895" max="5899" width="8.7265625" style="156" customWidth="1"/>
    <col min="5900" max="5900" width="10.7265625" style="156" customWidth="1"/>
    <col min="5901" max="6144" width="9.1796875" style="156"/>
    <col min="6145" max="6146" width="7.7265625" style="156" customWidth="1"/>
    <col min="6147" max="6147" width="0.81640625" style="156" customWidth="1"/>
    <col min="6148" max="6148" width="3.7265625" style="156" customWidth="1"/>
    <col min="6149" max="6149" width="23.7265625" style="156" customWidth="1"/>
    <col min="6150" max="6150" width="12.7265625" style="156" customWidth="1"/>
    <col min="6151" max="6155" width="8.7265625" style="156" customWidth="1"/>
    <col min="6156" max="6156" width="10.7265625" style="156" customWidth="1"/>
    <col min="6157" max="6400" width="9.1796875" style="156"/>
    <col min="6401" max="6402" width="7.7265625" style="156" customWidth="1"/>
    <col min="6403" max="6403" width="0.81640625" style="156" customWidth="1"/>
    <col min="6404" max="6404" width="3.7265625" style="156" customWidth="1"/>
    <col min="6405" max="6405" width="23.7265625" style="156" customWidth="1"/>
    <col min="6406" max="6406" width="12.7265625" style="156" customWidth="1"/>
    <col min="6407" max="6411" width="8.7265625" style="156" customWidth="1"/>
    <col min="6412" max="6412" width="10.7265625" style="156" customWidth="1"/>
    <col min="6413" max="6656" width="9.1796875" style="156"/>
    <col min="6657" max="6658" width="7.7265625" style="156" customWidth="1"/>
    <col min="6659" max="6659" width="0.81640625" style="156" customWidth="1"/>
    <col min="6660" max="6660" width="3.7265625" style="156" customWidth="1"/>
    <col min="6661" max="6661" width="23.7265625" style="156" customWidth="1"/>
    <col min="6662" max="6662" width="12.7265625" style="156" customWidth="1"/>
    <col min="6663" max="6667" width="8.7265625" style="156" customWidth="1"/>
    <col min="6668" max="6668" width="10.7265625" style="156" customWidth="1"/>
    <col min="6669" max="6912" width="9.1796875" style="156"/>
    <col min="6913" max="6914" width="7.7265625" style="156" customWidth="1"/>
    <col min="6915" max="6915" width="0.81640625" style="156" customWidth="1"/>
    <col min="6916" max="6916" width="3.7265625" style="156" customWidth="1"/>
    <col min="6917" max="6917" width="23.7265625" style="156" customWidth="1"/>
    <col min="6918" max="6918" width="12.7265625" style="156" customWidth="1"/>
    <col min="6919" max="6923" width="8.7265625" style="156" customWidth="1"/>
    <col min="6924" max="6924" width="10.7265625" style="156" customWidth="1"/>
    <col min="6925" max="7168" width="9.1796875" style="156"/>
    <col min="7169" max="7170" width="7.7265625" style="156" customWidth="1"/>
    <col min="7171" max="7171" width="0.81640625" style="156" customWidth="1"/>
    <col min="7172" max="7172" width="3.7265625" style="156" customWidth="1"/>
    <col min="7173" max="7173" width="23.7265625" style="156" customWidth="1"/>
    <col min="7174" max="7174" width="12.7265625" style="156" customWidth="1"/>
    <col min="7175" max="7179" width="8.7265625" style="156" customWidth="1"/>
    <col min="7180" max="7180" width="10.7265625" style="156" customWidth="1"/>
    <col min="7181" max="7424" width="9.1796875" style="156"/>
    <col min="7425" max="7426" width="7.7265625" style="156" customWidth="1"/>
    <col min="7427" max="7427" width="0.81640625" style="156" customWidth="1"/>
    <col min="7428" max="7428" width="3.7265625" style="156" customWidth="1"/>
    <col min="7429" max="7429" width="23.7265625" style="156" customWidth="1"/>
    <col min="7430" max="7430" width="12.7265625" style="156" customWidth="1"/>
    <col min="7431" max="7435" width="8.7265625" style="156" customWidth="1"/>
    <col min="7436" max="7436" width="10.7265625" style="156" customWidth="1"/>
    <col min="7437" max="7680" width="9.1796875" style="156"/>
    <col min="7681" max="7682" width="7.7265625" style="156" customWidth="1"/>
    <col min="7683" max="7683" width="0.81640625" style="156" customWidth="1"/>
    <col min="7684" max="7684" width="3.7265625" style="156" customWidth="1"/>
    <col min="7685" max="7685" width="23.7265625" style="156" customWidth="1"/>
    <col min="7686" max="7686" width="12.7265625" style="156" customWidth="1"/>
    <col min="7687" max="7691" width="8.7265625" style="156" customWidth="1"/>
    <col min="7692" max="7692" width="10.7265625" style="156" customWidth="1"/>
    <col min="7693" max="7936" width="9.1796875" style="156"/>
    <col min="7937" max="7938" width="7.7265625" style="156" customWidth="1"/>
    <col min="7939" max="7939" width="0.81640625" style="156" customWidth="1"/>
    <col min="7940" max="7940" width="3.7265625" style="156" customWidth="1"/>
    <col min="7941" max="7941" width="23.7265625" style="156" customWidth="1"/>
    <col min="7942" max="7942" width="12.7265625" style="156" customWidth="1"/>
    <col min="7943" max="7947" width="8.7265625" style="156" customWidth="1"/>
    <col min="7948" max="7948" width="10.7265625" style="156" customWidth="1"/>
    <col min="7949" max="8192" width="9.1796875" style="156"/>
    <col min="8193" max="8194" width="7.7265625" style="156" customWidth="1"/>
    <col min="8195" max="8195" width="0.81640625" style="156" customWidth="1"/>
    <col min="8196" max="8196" width="3.7265625" style="156" customWidth="1"/>
    <col min="8197" max="8197" width="23.7265625" style="156" customWidth="1"/>
    <col min="8198" max="8198" width="12.7265625" style="156" customWidth="1"/>
    <col min="8199" max="8203" width="8.7265625" style="156" customWidth="1"/>
    <col min="8204" max="8204" width="10.7265625" style="156" customWidth="1"/>
    <col min="8205" max="8448" width="9.1796875" style="156"/>
    <col min="8449" max="8450" width="7.7265625" style="156" customWidth="1"/>
    <col min="8451" max="8451" width="0.81640625" style="156" customWidth="1"/>
    <col min="8452" max="8452" width="3.7265625" style="156" customWidth="1"/>
    <col min="8453" max="8453" width="23.7265625" style="156" customWidth="1"/>
    <col min="8454" max="8454" width="12.7265625" style="156" customWidth="1"/>
    <col min="8455" max="8459" width="8.7265625" style="156" customWidth="1"/>
    <col min="8460" max="8460" width="10.7265625" style="156" customWidth="1"/>
    <col min="8461" max="8704" width="9.1796875" style="156"/>
    <col min="8705" max="8706" width="7.7265625" style="156" customWidth="1"/>
    <col min="8707" max="8707" width="0.81640625" style="156" customWidth="1"/>
    <col min="8708" max="8708" width="3.7265625" style="156" customWidth="1"/>
    <col min="8709" max="8709" width="23.7265625" style="156" customWidth="1"/>
    <col min="8710" max="8710" width="12.7265625" style="156" customWidth="1"/>
    <col min="8711" max="8715" width="8.7265625" style="156" customWidth="1"/>
    <col min="8716" max="8716" width="10.7265625" style="156" customWidth="1"/>
    <col min="8717" max="8960" width="9.1796875" style="156"/>
    <col min="8961" max="8962" width="7.7265625" style="156" customWidth="1"/>
    <col min="8963" max="8963" width="0.81640625" style="156" customWidth="1"/>
    <col min="8964" max="8964" width="3.7265625" style="156" customWidth="1"/>
    <col min="8965" max="8965" width="23.7265625" style="156" customWidth="1"/>
    <col min="8966" max="8966" width="12.7265625" style="156" customWidth="1"/>
    <col min="8967" max="8971" width="8.7265625" style="156" customWidth="1"/>
    <col min="8972" max="8972" width="10.7265625" style="156" customWidth="1"/>
    <col min="8973" max="9216" width="9.1796875" style="156"/>
    <col min="9217" max="9218" width="7.7265625" style="156" customWidth="1"/>
    <col min="9219" max="9219" width="0.81640625" style="156" customWidth="1"/>
    <col min="9220" max="9220" width="3.7265625" style="156" customWidth="1"/>
    <col min="9221" max="9221" width="23.7265625" style="156" customWidth="1"/>
    <col min="9222" max="9222" width="12.7265625" style="156" customWidth="1"/>
    <col min="9223" max="9227" width="8.7265625" style="156" customWidth="1"/>
    <col min="9228" max="9228" width="10.7265625" style="156" customWidth="1"/>
    <col min="9229" max="9472" width="9.1796875" style="156"/>
    <col min="9473" max="9474" width="7.7265625" style="156" customWidth="1"/>
    <col min="9475" max="9475" width="0.81640625" style="156" customWidth="1"/>
    <col min="9476" max="9476" width="3.7265625" style="156" customWidth="1"/>
    <col min="9477" max="9477" width="23.7265625" style="156" customWidth="1"/>
    <col min="9478" max="9478" width="12.7265625" style="156" customWidth="1"/>
    <col min="9479" max="9483" width="8.7265625" style="156" customWidth="1"/>
    <col min="9484" max="9484" width="10.7265625" style="156" customWidth="1"/>
    <col min="9485" max="9728" width="9.1796875" style="156"/>
    <col min="9729" max="9730" width="7.7265625" style="156" customWidth="1"/>
    <col min="9731" max="9731" width="0.81640625" style="156" customWidth="1"/>
    <col min="9732" max="9732" width="3.7265625" style="156" customWidth="1"/>
    <col min="9733" max="9733" width="23.7265625" style="156" customWidth="1"/>
    <col min="9734" max="9734" width="12.7265625" style="156" customWidth="1"/>
    <col min="9735" max="9739" width="8.7265625" style="156" customWidth="1"/>
    <col min="9740" max="9740" width="10.7265625" style="156" customWidth="1"/>
    <col min="9741" max="9984" width="9.1796875" style="156"/>
    <col min="9985" max="9986" width="7.7265625" style="156" customWidth="1"/>
    <col min="9987" max="9987" width="0.81640625" style="156" customWidth="1"/>
    <col min="9988" max="9988" width="3.7265625" style="156" customWidth="1"/>
    <col min="9989" max="9989" width="23.7265625" style="156" customWidth="1"/>
    <col min="9990" max="9990" width="12.7265625" style="156" customWidth="1"/>
    <col min="9991" max="9995" width="8.7265625" style="156" customWidth="1"/>
    <col min="9996" max="9996" width="10.7265625" style="156" customWidth="1"/>
    <col min="9997" max="10240" width="9.1796875" style="156"/>
    <col min="10241" max="10242" width="7.7265625" style="156" customWidth="1"/>
    <col min="10243" max="10243" width="0.81640625" style="156" customWidth="1"/>
    <col min="10244" max="10244" width="3.7265625" style="156" customWidth="1"/>
    <col min="10245" max="10245" width="23.7265625" style="156" customWidth="1"/>
    <col min="10246" max="10246" width="12.7265625" style="156" customWidth="1"/>
    <col min="10247" max="10251" width="8.7265625" style="156" customWidth="1"/>
    <col min="10252" max="10252" width="10.7265625" style="156" customWidth="1"/>
    <col min="10253" max="10496" width="9.1796875" style="156"/>
    <col min="10497" max="10498" width="7.7265625" style="156" customWidth="1"/>
    <col min="10499" max="10499" width="0.81640625" style="156" customWidth="1"/>
    <col min="10500" max="10500" width="3.7265625" style="156" customWidth="1"/>
    <col min="10501" max="10501" width="23.7265625" style="156" customWidth="1"/>
    <col min="10502" max="10502" width="12.7265625" style="156" customWidth="1"/>
    <col min="10503" max="10507" width="8.7265625" style="156" customWidth="1"/>
    <col min="10508" max="10508" width="10.7265625" style="156" customWidth="1"/>
    <col min="10509" max="10752" width="9.1796875" style="156"/>
    <col min="10753" max="10754" width="7.7265625" style="156" customWidth="1"/>
    <col min="10755" max="10755" width="0.81640625" style="156" customWidth="1"/>
    <col min="10756" max="10756" width="3.7265625" style="156" customWidth="1"/>
    <col min="10757" max="10757" width="23.7265625" style="156" customWidth="1"/>
    <col min="10758" max="10758" width="12.7265625" style="156" customWidth="1"/>
    <col min="10759" max="10763" width="8.7265625" style="156" customWidth="1"/>
    <col min="10764" max="10764" width="10.7265625" style="156" customWidth="1"/>
    <col min="10765" max="11008" width="9.1796875" style="156"/>
    <col min="11009" max="11010" width="7.7265625" style="156" customWidth="1"/>
    <col min="11011" max="11011" width="0.81640625" style="156" customWidth="1"/>
    <col min="11012" max="11012" width="3.7265625" style="156" customWidth="1"/>
    <col min="11013" max="11013" width="23.7265625" style="156" customWidth="1"/>
    <col min="11014" max="11014" width="12.7265625" style="156" customWidth="1"/>
    <col min="11015" max="11019" width="8.7265625" style="156" customWidth="1"/>
    <col min="11020" max="11020" width="10.7265625" style="156" customWidth="1"/>
    <col min="11021" max="11264" width="9.1796875" style="156"/>
    <col min="11265" max="11266" width="7.7265625" style="156" customWidth="1"/>
    <col min="11267" max="11267" width="0.81640625" style="156" customWidth="1"/>
    <col min="11268" max="11268" width="3.7265625" style="156" customWidth="1"/>
    <col min="11269" max="11269" width="23.7265625" style="156" customWidth="1"/>
    <col min="11270" max="11270" width="12.7265625" style="156" customWidth="1"/>
    <col min="11271" max="11275" width="8.7265625" style="156" customWidth="1"/>
    <col min="11276" max="11276" width="10.7265625" style="156" customWidth="1"/>
    <col min="11277" max="11520" width="9.1796875" style="156"/>
    <col min="11521" max="11522" width="7.7265625" style="156" customWidth="1"/>
    <col min="11523" max="11523" width="0.81640625" style="156" customWidth="1"/>
    <col min="11524" max="11524" width="3.7265625" style="156" customWidth="1"/>
    <col min="11525" max="11525" width="23.7265625" style="156" customWidth="1"/>
    <col min="11526" max="11526" width="12.7265625" style="156" customWidth="1"/>
    <col min="11527" max="11531" width="8.7265625" style="156" customWidth="1"/>
    <col min="11532" max="11532" width="10.7265625" style="156" customWidth="1"/>
    <col min="11533" max="11776" width="9.1796875" style="156"/>
    <col min="11777" max="11778" width="7.7265625" style="156" customWidth="1"/>
    <col min="11779" max="11779" width="0.81640625" style="156" customWidth="1"/>
    <col min="11780" max="11780" width="3.7265625" style="156" customWidth="1"/>
    <col min="11781" max="11781" width="23.7265625" style="156" customWidth="1"/>
    <col min="11782" max="11782" width="12.7265625" style="156" customWidth="1"/>
    <col min="11783" max="11787" width="8.7265625" style="156" customWidth="1"/>
    <col min="11788" max="11788" width="10.7265625" style="156" customWidth="1"/>
    <col min="11789" max="12032" width="9.1796875" style="156"/>
    <col min="12033" max="12034" width="7.7265625" style="156" customWidth="1"/>
    <col min="12035" max="12035" width="0.81640625" style="156" customWidth="1"/>
    <col min="12036" max="12036" width="3.7265625" style="156" customWidth="1"/>
    <col min="12037" max="12037" width="23.7265625" style="156" customWidth="1"/>
    <col min="12038" max="12038" width="12.7265625" style="156" customWidth="1"/>
    <col min="12039" max="12043" width="8.7265625" style="156" customWidth="1"/>
    <col min="12044" max="12044" width="10.7265625" style="156" customWidth="1"/>
    <col min="12045" max="12288" width="9.1796875" style="156"/>
    <col min="12289" max="12290" width="7.7265625" style="156" customWidth="1"/>
    <col min="12291" max="12291" width="0.81640625" style="156" customWidth="1"/>
    <col min="12292" max="12292" width="3.7265625" style="156" customWidth="1"/>
    <col min="12293" max="12293" width="23.7265625" style="156" customWidth="1"/>
    <col min="12294" max="12294" width="12.7265625" style="156" customWidth="1"/>
    <col min="12295" max="12299" width="8.7265625" style="156" customWidth="1"/>
    <col min="12300" max="12300" width="10.7265625" style="156" customWidth="1"/>
    <col min="12301" max="12544" width="9.1796875" style="156"/>
    <col min="12545" max="12546" width="7.7265625" style="156" customWidth="1"/>
    <col min="12547" max="12547" width="0.81640625" style="156" customWidth="1"/>
    <col min="12548" max="12548" width="3.7265625" style="156" customWidth="1"/>
    <col min="12549" max="12549" width="23.7265625" style="156" customWidth="1"/>
    <col min="12550" max="12550" width="12.7265625" style="156" customWidth="1"/>
    <col min="12551" max="12555" width="8.7265625" style="156" customWidth="1"/>
    <col min="12556" max="12556" width="10.7265625" style="156" customWidth="1"/>
    <col min="12557" max="12800" width="9.1796875" style="156"/>
    <col min="12801" max="12802" width="7.7265625" style="156" customWidth="1"/>
    <col min="12803" max="12803" width="0.81640625" style="156" customWidth="1"/>
    <col min="12804" max="12804" width="3.7265625" style="156" customWidth="1"/>
    <col min="12805" max="12805" width="23.7265625" style="156" customWidth="1"/>
    <col min="12806" max="12806" width="12.7265625" style="156" customWidth="1"/>
    <col min="12807" max="12811" width="8.7265625" style="156" customWidth="1"/>
    <col min="12812" max="12812" width="10.7265625" style="156" customWidth="1"/>
    <col min="12813" max="13056" width="9.1796875" style="156"/>
    <col min="13057" max="13058" width="7.7265625" style="156" customWidth="1"/>
    <col min="13059" max="13059" width="0.81640625" style="156" customWidth="1"/>
    <col min="13060" max="13060" width="3.7265625" style="156" customWidth="1"/>
    <col min="13061" max="13061" width="23.7265625" style="156" customWidth="1"/>
    <col min="13062" max="13062" width="12.7265625" style="156" customWidth="1"/>
    <col min="13063" max="13067" width="8.7265625" style="156" customWidth="1"/>
    <col min="13068" max="13068" width="10.7265625" style="156" customWidth="1"/>
    <col min="13069" max="13312" width="9.1796875" style="156"/>
    <col min="13313" max="13314" width="7.7265625" style="156" customWidth="1"/>
    <col min="13315" max="13315" width="0.81640625" style="156" customWidth="1"/>
    <col min="13316" max="13316" width="3.7265625" style="156" customWidth="1"/>
    <col min="13317" max="13317" width="23.7265625" style="156" customWidth="1"/>
    <col min="13318" max="13318" width="12.7265625" style="156" customWidth="1"/>
    <col min="13319" max="13323" width="8.7265625" style="156" customWidth="1"/>
    <col min="13324" max="13324" width="10.7265625" style="156" customWidth="1"/>
    <col min="13325" max="13568" width="9.1796875" style="156"/>
    <col min="13569" max="13570" width="7.7265625" style="156" customWidth="1"/>
    <col min="13571" max="13571" width="0.81640625" style="156" customWidth="1"/>
    <col min="13572" max="13572" width="3.7265625" style="156" customWidth="1"/>
    <col min="13573" max="13573" width="23.7265625" style="156" customWidth="1"/>
    <col min="13574" max="13574" width="12.7265625" style="156" customWidth="1"/>
    <col min="13575" max="13579" width="8.7265625" style="156" customWidth="1"/>
    <col min="13580" max="13580" width="10.7265625" style="156" customWidth="1"/>
    <col min="13581" max="13824" width="9.1796875" style="156"/>
    <col min="13825" max="13826" width="7.7265625" style="156" customWidth="1"/>
    <col min="13827" max="13827" width="0.81640625" style="156" customWidth="1"/>
    <col min="13828" max="13828" width="3.7265625" style="156" customWidth="1"/>
    <col min="13829" max="13829" width="23.7265625" style="156" customWidth="1"/>
    <col min="13830" max="13830" width="12.7265625" style="156" customWidth="1"/>
    <col min="13831" max="13835" width="8.7265625" style="156" customWidth="1"/>
    <col min="13836" max="13836" width="10.7265625" style="156" customWidth="1"/>
    <col min="13837" max="14080" width="9.1796875" style="156"/>
    <col min="14081" max="14082" width="7.7265625" style="156" customWidth="1"/>
    <col min="14083" max="14083" width="0.81640625" style="156" customWidth="1"/>
    <col min="14084" max="14084" width="3.7265625" style="156" customWidth="1"/>
    <col min="14085" max="14085" width="23.7265625" style="156" customWidth="1"/>
    <col min="14086" max="14086" width="12.7265625" style="156" customWidth="1"/>
    <col min="14087" max="14091" width="8.7265625" style="156" customWidth="1"/>
    <col min="14092" max="14092" width="10.7265625" style="156" customWidth="1"/>
    <col min="14093" max="14336" width="9.1796875" style="156"/>
    <col min="14337" max="14338" width="7.7265625" style="156" customWidth="1"/>
    <col min="14339" max="14339" width="0.81640625" style="156" customWidth="1"/>
    <col min="14340" max="14340" width="3.7265625" style="156" customWidth="1"/>
    <col min="14341" max="14341" width="23.7265625" style="156" customWidth="1"/>
    <col min="14342" max="14342" width="12.7265625" style="156" customWidth="1"/>
    <col min="14343" max="14347" width="8.7265625" style="156" customWidth="1"/>
    <col min="14348" max="14348" width="10.7265625" style="156" customWidth="1"/>
    <col min="14349" max="14592" width="9.1796875" style="156"/>
    <col min="14593" max="14594" width="7.7265625" style="156" customWidth="1"/>
    <col min="14595" max="14595" width="0.81640625" style="156" customWidth="1"/>
    <col min="14596" max="14596" width="3.7265625" style="156" customWidth="1"/>
    <col min="14597" max="14597" width="23.7265625" style="156" customWidth="1"/>
    <col min="14598" max="14598" width="12.7265625" style="156" customWidth="1"/>
    <col min="14599" max="14603" width="8.7265625" style="156" customWidth="1"/>
    <col min="14604" max="14604" width="10.7265625" style="156" customWidth="1"/>
    <col min="14605" max="14848" width="9.1796875" style="156"/>
    <col min="14849" max="14850" width="7.7265625" style="156" customWidth="1"/>
    <col min="14851" max="14851" width="0.81640625" style="156" customWidth="1"/>
    <col min="14852" max="14852" width="3.7265625" style="156" customWidth="1"/>
    <col min="14853" max="14853" width="23.7265625" style="156" customWidth="1"/>
    <col min="14854" max="14854" width="12.7265625" style="156" customWidth="1"/>
    <col min="14855" max="14859" width="8.7265625" style="156" customWidth="1"/>
    <col min="14860" max="14860" width="10.7265625" style="156" customWidth="1"/>
    <col min="14861" max="15104" width="9.1796875" style="156"/>
    <col min="15105" max="15106" width="7.7265625" style="156" customWidth="1"/>
    <col min="15107" max="15107" width="0.81640625" style="156" customWidth="1"/>
    <col min="15108" max="15108" width="3.7265625" style="156" customWidth="1"/>
    <col min="15109" max="15109" width="23.7265625" style="156" customWidth="1"/>
    <col min="15110" max="15110" width="12.7265625" style="156" customWidth="1"/>
    <col min="15111" max="15115" width="8.7265625" style="156" customWidth="1"/>
    <col min="15116" max="15116" width="10.7265625" style="156" customWidth="1"/>
    <col min="15117" max="15360" width="9.1796875" style="156"/>
    <col min="15361" max="15362" width="7.7265625" style="156" customWidth="1"/>
    <col min="15363" max="15363" width="0.81640625" style="156" customWidth="1"/>
    <col min="15364" max="15364" width="3.7265625" style="156" customWidth="1"/>
    <col min="15365" max="15365" width="23.7265625" style="156" customWidth="1"/>
    <col min="15366" max="15366" width="12.7265625" style="156" customWidth="1"/>
    <col min="15367" max="15371" width="8.7265625" style="156" customWidth="1"/>
    <col min="15372" max="15372" width="10.7265625" style="156" customWidth="1"/>
    <col min="15373" max="15616" width="9.1796875" style="156"/>
    <col min="15617" max="15618" width="7.7265625" style="156" customWidth="1"/>
    <col min="15619" max="15619" width="0.81640625" style="156" customWidth="1"/>
    <col min="15620" max="15620" width="3.7265625" style="156" customWidth="1"/>
    <col min="15621" max="15621" width="23.7265625" style="156" customWidth="1"/>
    <col min="15622" max="15622" width="12.7265625" style="156" customWidth="1"/>
    <col min="15623" max="15627" width="8.7265625" style="156" customWidth="1"/>
    <col min="15628" max="15628" width="10.7265625" style="156" customWidth="1"/>
    <col min="15629" max="15872" width="9.1796875" style="156"/>
    <col min="15873" max="15874" width="7.7265625" style="156" customWidth="1"/>
    <col min="15875" max="15875" width="0.81640625" style="156" customWidth="1"/>
    <col min="15876" max="15876" width="3.7265625" style="156" customWidth="1"/>
    <col min="15877" max="15877" width="23.7265625" style="156" customWidth="1"/>
    <col min="15878" max="15878" width="12.7265625" style="156" customWidth="1"/>
    <col min="15879" max="15883" width="8.7265625" style="156" customWidth="1"/>
    <col min="15884" max="15884" width="10.7265625" style="156" customWidth="1"/>
    <col min="15885" max="16128" width="9.1796875" style="156"/>
    <col min="16129" max="16130" width="7.7265625" style="156" customWidth="1"/>
    <col min="16131" max="16131" width="0.81640625" style="156" customWidth="1"/>
    <col min="16132" max="16132" width="3.7265625" style="156" customWidth="1"/>
    <col min="16133" max="16133" width="23.7265625" style="156" customWidth="1"/>
    <col min="16134" max="16134" width="12.7265625" style="156" customWidth="1"/>
    <col min="16135" max="16139" width="8.7265625" style="156" customWidth="1"/>
    <col min="16140" max="16140" width="10.7265625" style="156" customWidth="1"/>
    <col min="16141" max="16384" width="9.1796875" style="156"/>
  </cols>
  <sheetData>
    <row r="1" spans="1:12" ht="15" hidden="1" customHeight="1" x14ac:dyDescent="0.2">
      <c r="A1" s="673"/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5"/>
    </row>
    <row r="2" spans="1:12" ht="5.15" hidden="1" customHeight="1" x14ac:dyDescent="0.25">
      <c r="A2" s="301"/>
      <c r="B2" s="302"/>
      <c r="C2" s="154"/>
      <c r="D2" s="302"/>
      <c r="E2" s="154"/>
      <c r="F2" s="154"/>
      <c r="G2" s="154"/>
      <c r="H2" s="154"/>
      <c r="I2" s="154"/>
      <c r="J2" s="154"/>
      <c r="K2" s="154"/>
      <c r="L2" s="303"/>
    </row>
    <row r="3" spans="1:12" ht="15" hidden="1" customHeight="1" x14ac:dyDescent="0.25">
      <c r="A3" s="676" t="s">
        <v>568</v>
      </c>
      <c r="B3" s="677"/>
      <c r="C3" s="677"/>
      <c r="D3" s="677"/>
      <c r="E3" s="304" t="str">
        <f>'[8]Planilha orçamentária'!E9</f>
        <v xml:space="preserve">Construção / complementação de estradas vicinais padrão alimentadora </v>
      </c>
      <c r="F3" s="305"/>
      <c r="G3" s="305"/>
      <c r="H3" s="305"/>
      <c r="I3" s="305"/>
      <c r="J3" s="305"/>
      <c r="K3" s="305"/>
      <c r="L3" s="306"/>
    </row>
    <row r="4" spans="1:12" ht="5.15" hidden="1" customHeight="1" x14ac:dyDescent="0.25">
      <c r="A4" s="307"/>
      <c r="B4" s="308"/>
      <c r="C4" s="309"/>
      <c r="D4" s="308"/>
      <c r="E4" s="308"/>
      <c r="F4" s="310"/>
      <c r="G4" s="310"/>
      <c r="H4" s="310"/>
      <c r="I4" s="310"/>
      <c r="J4" s="310"/>
      <c r="K4" s="310"/>
      <c r="L4" s="311"/>
    </row>
    <row r="5" spans="1:12" ht="5.15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ht="15" customHeight="1" x14ac:dyDescent="0.2">
      <c r="A6" s="611" t="s">
        <v>511</v>
      </c>
      <c r="B6" s="612"/>
      <c r="C6" s="612"/>
      <c r="D6" s="612"/>
      <c r="E6" s="612"/>
      <c r="F6" s="612"/>
      <c r="G6" s="612"/>
      <c r="H6" s="612"/>
      <c r="I6" s="612"/>
      <c r="J6" s="612"/>
      <c r="K6" s="613"/>
      <c r="L6" s="312" t="s">
        <v>512</v>
      </c>
    </row>
    <row r="7" spans="1:12" ht="15" customHeight="1" x14ac:dyDescent="0.2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6"/>
      <c r="L7" s="678" t="s">
        <v>569</v>
      </c>
    </row>
    <row r="8" spans="1:12" ht="3" customHeight="1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678"/>
    </row>
    <row r="9" spans="1:12" s="164" customFormat="1" ht="25" customHeight="1" x14ac:dyDescent="0.25">
      <c r="A9" s="313" t="s">
        <v>514</v>
      </c>
      <c r="B9" s="314"/>
      <c r="C9" s="314"/>
      <c r="D9" s="315" t="s">
        <v>570</v>
      </c>
      <c r="E9" s="679" t="s">
        <v>51</v>
      </c>
      <c r="F9" s="679"/>
      <c r="G9" s="679"/>
      <c r="H9" s="679"/>
      <c r="I9" s="679"/>
      <c r="J9" s="680"/>
      <c r="K9" s="316" t="s">
        <v>516</v>
      </c>
      <c r="L9" s="317" t="s">
        <v>517</v>
      </c>
    </row>
    <row r="10" spans="1:12" s="164" customFormat="1" ht="3" customHeight="1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s="164" customFormat="1" ht="14.15" customHeight="1" x14ac:dyDescent="0.25">
      <c r="A11" s="318"/>
      <c r="B11" s="175"/>
      <c r="C11" s="175"/>
      <c r="D11" s="175"/>
      <c r="E11" s="237"/>
      <c r="F11" s="175"/>
      <c r="G11" s="175"/>
      <c r="H11" s="175"/>
      <c r="I11" s="175"/>
      <c r="J11" s="175"/>
      <c r="K11" s="175"/>
      <c r="L11" s="176"/>
    </row>
    <row r="12" spans="1:12" s="164" customFormat="1" ht="14.15" customHeight="1" x14ac:dyDescent="0.25">
      <c r="A12" s="319"/>
      <c r="B12" s="320"/>
      <c r="C12" s="320"/>
      <c r="D12" s="684" t="s">
        <v>571</v>
      </c>
      <c r="E12" s="685"/>
      <c r="F12" s="684" t="s">
        <v>572</v>
      </c>
      <c r="G12" s="685"/>
      <c r="H12" s="684" t="s">
        <v>573</v>
      </c>
      <c r="I12" s="685"/>
      <c r="J12" s="686"/>
      <c r="K12" s="687"/>
      <c r="L12" s="185"/>
    </row>
    <row r="13" spans="1:12" s="164" customFormat="1" ht="14.15" customHeight="1" x14ac:dyDescent="0.25">
      <c r="A13" s="319"/>
      <c r="B13" s="166"/>
      <c r="C13" s="166"/>
      <c r="D13" s="682" t="s">
        <v>574</v>
      </c>
      <c r="E13" s="683"/>
      <c r="F13" s="321">
        <v>282</v>
      </c>
      <c r="G13" s="322" t="s">
        <v>575</v>
      </c>
      <c r="H13" s="323">
        <v>60</v>
      </c>
      <c r="I13" s="324" t="s">
        <v>576</v>
      </c>
      <c r="J13" s="681"/>
      <c r="K13" s="624"/>
      <c r="L13" s="185"/>
    </row>
    <row r="14" spans="1:12" s="164" customFormat="1" ht="14.15" customHeight="1" x14ac:dyDescent="0.25">
      <c r="A14" s="319"/>
      <c r="B14" s="166"/>
      <c r="C14" s="166"/>
      <c r="D14" s="682" t="s">
        <v>577</v>
      </c>
      <c r="E14" s="683"/>
      <c r="F14" s="321"/>
      <c r="G14" s="322" t="s">
        <v>575</v>
      </c>
      <c r="H14" s="323">
        <v>50</v>
      </c>
      <c r="I14" s="324" t="s">
        <v>576</v>
      </c>
      <c r="J14" s="681"/>
      <c r="K14" s="624"/>
      <c r="L14" s="185"/>
    </row>
    <row r="15" spans="1:12" s="164" customFormat="1" ht="14.15" customHeight="1" x14ac:dyDescent="0.25">
      <c r="A15" s="319"/>
      <c r="B15" s="166"/>
      <c r="C15" s="166"/>
      <c r="D15" s="682" t="s">
        <v>578</v>
      </c>
      <c r="E15" s="683"/>
      <c r="F15" s="321">
        <v>10</v>
      </c>
      <c r="G15" s="322" t="s">
        <v>575</v>
      </c>
      <c r="H15" s="323">
        <v>40</v>
      </c>
      <c r="I15" s="324" t="s">
        <v>576</v>
      </c>
      <c r="J15" s="681"/>
      <c r="K15" s="624"/>
      <c r="L15" s="185"/>
    </row>
    <row r="16" spans="1:12" s="164" customFormat="1" ht="14.15" customHeight="1" x14ac:dyDescent="0.25">
      <c r="A16" s="319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85"/>
    </row>
    <row r="17" spans="1:12" s="164" customFormat="1" ht="20.149999999999999" customHeight="1" x14ac:dyDescent="0.25">
      <c r="A17" s="620" t="s">
        <v>518</v>
      </c>
      <c r="B17" s="621"/>
      <c r="C17" s="621"/>
      <c r="D17" s="621"/>
      <c r="E17" s="621"/>
      <c r="F17" s="622"/>
      <c r="G17" s="626" t="s">
        <v>579</v>
      </c>
      <c r="H17" s="641" t="s">
        <v>580</v>
      </c>
      <c r="I17" s="641" t="s">
        <v>581</v>
      </c>
      <c r="J17" s="641" t="s">
        <v>582</v>
      </c>
      <c r="K17" s="641" t="s">
        <v>583</v>
      </c>
      <c r="L17" s="641" t="s">
        <v>584</v>
      </c>
    </row>
    <row r="18" spans="1:12" s="164" customFormat="1" ht="20.149999999999999" customHeight="1" x14ac:dyDescent="0.25">
      <c r="A18" s="638"/>
      <c r="B18" s="639"/>
      <c r="C18" s="639"/>
      <c r="D18" s="639"/>
      <c r="E18" s="639"/>
      <c r="F18" s="640"/>
      <c r="G18" s="627"/>
      <c r="H18" s="642"/>
      <c r="I18" s="642"/>
      <c r="J18" s="642"/>
      <c r="K18" s="642"/>
      <c r="L18" s="642"/>
    </row>
    <row r="19" spans="1:12" s="164" customFormat="1" ht="14.15" customHeight="1" x14ac:dyDescent="0.25">
      <c r="A19" s="325" t="s">
        <v>585</v>
      </c>
      <c r="B19" s="326"/>
      <c r="C19" s="327"/>
      <c r="D19" s="328"/>
      <c r="E19" s="329"/>
      <c r="F19" s="329"/>
      <c r="G19" s="327"/>
      <c r="H19" s="330"/>
      <c r="I19" s="331"/>
      <c r="J19" s="332"/>
      <c r="K19" s="333"/>
      <c r="L19" s="334"/>
    </row>
    <row r="20" spans="1:12" s="164" customFormat="1" ht="16" customHeight="1" x14ac:dyDescent="0.25">
      <c r="A20" s="335"/>
      <c r="B20" s="336" t="s">
        <v>128</v>
      </c>
      <c r="C20" s="337"/>
      <c r="D20" s="338" t="s">
        <v>586</v>
      </c>
      <c r="E20" s="339"/>
      <c r="F20" s="339"/>
      <c r="G20" s="340"/>
      <c r="H20" s="341"/>
      <c r="I20" s="179"/>
      <c r="J20" s="342"/>
      <c r="K20" s="343"/>
      <c r="L20" s="344"/>
    </row>
    <row r="21" spans="1:12" s="164" customFormat="1" ht="16" customHeight="1" x14ac:dyDescent="0.25">
      <c r="A21" s="335"/>
      <c r="B21" s="345" t="str">
        <f>'[8]Composições - Equipamentos'!B44</f>
        <v>E9666</v>
      </c>
      <c r="C21" s="337"/>
      <c r="D21" s="346">
        <v>1</v>
      </c>
      <c r="E21" s="347" t="str">
        <f>'[8]Composições - Equipamentos'!C44</f>
        <v>Cavalo mecânico com semi-reboque e capacidade de 45 t - 295 kW (Axor 2041 - Mercedes-Benz / Randon)</v>
      </c>
      <c r="F21" s="348"/>
      <c r="G21" s="337"/>
      <c r="H21" s="341"/>
      <c r="I21" s="179"/>
      <c r="J21" s="342"/>
      <c r="K21" s="343"/>
      <c r="L21" s="344"/>
    </row>
    <row r="22" spans="1:12" s="164" customFormat="1" ht="16" customHeight="1" x14ac:dyDescent="0.25">
      <c r="A22" s="335"/>
      <c r="B22" s="345" t="str">
        <f>'[8]Composições - Equipamentos'!B17</f>
        <v>E9508</v>
      </c>
      <c r="C22" s="337"/>
      <c r="D22" s="346">
        <v>2</v>
      </c>
      <c r="E22" s="347" t="str">
        <f>'[8]Composições - Equipamentos'!C17</f>
        <v>Caminhão carroceria com capacidade de 9 t - 136 kW (Atego 1419 - Mercedes-Benz)</v>
      </c>
      <c r="F22" s="348"/>
      <c r="G22" s="337"/>
      <c r="H22" s="341"/>
      <c r="I22" s="179"/>
      <c r="J22" s="342"/>
      <c r="K22" s="343"/>
      <c r="L22" s="344"/>
    </row>
    <row r="23" spans="1:12" s="164" customFormat="1" ht="16" customHeight="1" x14ac:dyDescent="0.25">
      <c r="A23" s="335"/>
      <c r="B23" s="345" t="str">
        <f>'[8]Composições - Equipamentos'!B39</f>
        <v>E9579</v>
      </c>
      <c r="C23" s="337"/>
      <c r="D23" s="346">
        <v>3</v>
      </c>
      <c r="E23" s="347" t="str">
        <f>'[8]Composições - Equipamentos'!C39</f>
        <v>Caminhão basculante com capacidade de 10 m³ - 210 kW (Atron 2729  - Mercedes-Benz)</v>
      </c>
      <c r="F23" s="348"/>
      <c r="G23" s="337"/>
      <c r="H23" s="341"/>
      <c r="I23" s="179"/>
      <c r="J23" s="342"/>
      <c r="K23" s="343"/>
      <c r="L23" s="344"/>
    </row>
    <row r="24" spans="1:12" s="164" customFormat="1" ht="16" customHeight="1" x14ac:dyDescent="0.25">
      <c r="A24" s="335"/>
      <c r="B24" s="345" t="str">
        <f>'[8]Composições - Equipamentos'!B45</f>
        <v>E9667</v>
      </c>
      <c r="C24" s="337"/>
      <c r="D24" s="346">
        <v>4</v>
      </c>
      <c r="E24" s="347" t="str">
        <f>'[8]Composições - Equipamentos'!C45</f>
        <v>Caminhão basculante com capacidade de 14 m³ - 295 kW</v>
      </c>
      <c r="F24" s="348"/>
      <c r="G24" s="337"/>
      <c r="H24" s="341"/>
      <c r="I24" s="179"/>
      <c r="J24" s="342"/>
      <c r="K24" s="343"/>
      <c r="L24" s="349"/>
    </row>
    <row r="25" spans="1:12" s="164" customFormat="1" ht="16" customHeight="1" x14ac:dyDescent="0.25">
      <c r="A25" s="335"/>
      <c r="B25" s="345" t="str">
        <f>'[8]Composições - Equipamentos'!B48</f>
        <v>E9686</v>
      </c>
      <c r="C25" s="337"/>
      <c r="D25" s="346">
        <v>5</v>
      </c>
      <c r="E25" s="347" t="str">
        <f>'[8]Composições - Equipamentos'!C48</f>
        <v>Caminhão carroceria com guindauto com capacidade de 30 t.m - 136 kW</v>
      </c>
      <c r="F25" s="348"/>
      <c r="G25" s="337"/>
      <c r="H25" s="179"/>
      <c r="I25" s="179"/>
      <c r="J25" s="342"/>
      <c r="K25" s="344"/>
      <c r="L25" s="690">
        <f>ROUND(SUM(L27:L37),4)</f>
        <v>4130.9919</v>
      </c>
    </row>
    <row r="26" spans="1:12" s="164" customFormat="1" ht="8.15" customHeight="1" x14ac:dyDescent="0.25">
      <c r="A26" s="350"/>
      <c r="B26" s="351"/>
      <c r="C26" s="352"/>
      <c r="D26" s="353"/>
      <c r="E26" s="354"/>
      <c r="F26" s="355"/>
      <c r="G26" s="352"/>
      <c r="H26" s="356"/>
      <c r="I26" s="356"/>
      <c r="J26" s="357"/>
      <c r="K26" s="358"/>
      <c r="L26" s="691"/>
    </row>
    <row r="27" spans="1:12" s="164" customFormat="1" ht="25" hidden="1" customHeight="1" x14ac:dyDescent="0.25">
      <c r="A27" s="359" t="str">
        <f>'[8]Composições - Equipamentos'!A18</f>
        <v>DNIT –</v>
      </c>
      <c r="B27" s="360" t="str">
        <f>'[8]Composições - Equipamentos'!B18</f>
        <v>E9511</v>
      </c>
      <c r="C27" s="361" t="s">
        <v>530</v>
      </c>
      <c r="D27" s="692" t="str">
        <f>'[8]Composições - Equipamentos'!C18</f>
        <v>Carregadeira de pneus com capacidade de 3,30 m³ - 213 kW (950H - Caterpillar)</v>
      </c>
      <c r="E27" s="692"/>
      <c r="F27" s="693"/>
      <c r="G27" s="362"/>
      <c r="H27" s="363"/>
      <c r="I27" s="364"/>
      <c r="J27" s="365">
        <v>0.5</v>
      </c>
      <c r="K27" s="366">
        <f>IF(H27=1,'[8]Composições - Equipamentos'!$S$44,IF(H27=2,'[8]Composições - Equipamentos'!$S$17,IF(H27=3,'[8]Composições - Equipamentos'!$S$39,IF(H27=4,'[8]Composições - Equipamentos'!$S$45,IF(H27=5,'[8]Composições - Equipamentos'!$S$48,0)))))</f>
        <v>0</v>
      </c>
      <c r="L27" s="367">
        <f>ROUND((((($F$13*I27*J27)/$H$13)*K27)+((($F$14*I27*J27)/$H$14)*K27)+((($F$15*I27*J27)/$H$15)*K27))*G27,4)</f>
        <v>0</v>
      </c>
    </row>
    <row r="28" spans="1:12" s="164" customFormat="1" ht="25" customHeight="1" x14ac:dyDescent="0.25">
      <c r="A28" s="368" t="str">
        <f>'[8]Composições - Equipamentos'!A19</f>
        <v>DNIT –</v>
      </c>
      <c r="B28" s="258" t="str">
        <f>'[8]Composições - Equipamentos'!B19</f>
        <v>E9515</v>
      </c>
      <c r="C28" s="183" t="s">
        <v>530</v>
      </c>
      <c r="D28" s="688" t="str">
        <f>'[8]Composições - Equipamentos'!C19</f>
        <v>Escavadeira hidráulica sobre esteira com caçamba com capacidade de 1,50 m³ - 110 kW (323 DL-Caterpillar)</v>
      </c>
      <c r="E28" s="688"/>
      <c r="F28" s="689"/>
      <c r="G28" s="369">
        <v>1</v>
      </c>
      <c r="H28" s="370">
        <v>1</v>
      </c>
      <c r="I28" s="369">
        <v>1</v>
      </c>
      <c r="J28" s="371">
        <v>1</v>
      </c>
      <c r="K28" s="372">
        <f>IF(H28=1,'[8]Composições - Equipamentos'!$S$44,IF(H28=2,'[8]Composições - Equipamentos'!$S$17,IF(H28=3,'[8]Composições - Equipamentos'!$S$39,IF(H28=4,'[8]Composições - Equipamentos'!$S$45,IF(H28=5,'[8]Composições - Equipamentos'!$S$48,0)))))</f>
        <v>238.44110000000001</v>
      </c>
      <c r="L28" s="367">
        <f t="shared" ref="L28:L36" si="0">ROUND((((($F$13*I28*J28)/$H$13)*K28)+((($F$14*I28*J28)/$H$14)*K28)+((($F$15*I28*J28)/$H$15)*K28))*G28,4)</f>
        <v>1180.2834</v>
      </c>
    </row>
    <row r="29" spans="1:12" s="164" customFormat="1" ht="25" customHeight="1" x14ac:dyDescent="0.25">
      <c r="A29" s="368" t="str">
        <f>'[8]Composições - Equipamentos'!A21</f>
        <v>DNIT –</v>
      </c>
      <c r="B29" s="258" t="str">
        <f>'[8]Composições - Equipamentos'!B21</f>
        <v>E9518</v>
      </c>
      <c r="C29" s="183" t="s">
        <v>530</v>
      </c>
      <c r="D29" s="688" t="str">
        <f>'[8]Composições - Equipamentos'!C21</f>
        <v>Grade de 24 discos rebocável de 24" (GAM 24 x 24" - Marchesan)</v>
      </c>
      <c r="E29" s="688"/>
      <c r="F29" s="689"/>
      <c r="G29" s="369">
        <v>1</v>
      </c>
      <c r="H29" s="370">
        <v>1</v>
      </c>
      <c r="I29" s="369">
        <v>1</v>
      </c>
      <c r="J29" s="371">
        <v>1</v>
      </c>
      <c r="K29" s="372">
        <f>IF(H29=1,'[8]Composições - Equipamentos'!$S$44,IF(H29=2,'[8]Composições - Equipamentos'!$S$17,IF(H29=3,'[8]Composições - Equipamentos'!$S$39,IF(H29=4,'[8]Composições - Equipamentos'!$S$45,IF(H29=5,'[8]Composições - Equipamentos'!$S$48,0)))))</f>
        <v>238.44110000000001</v>
      </c>
      <c r="L29" s="367">
        <f t="shared" si="0"/>
        <v>1180.2834</v>
      </c>
    </row>
    <row r="30" spans="1:12" s="164" customFormat="1" ht="16" hidden="1" customHeight="1" x14ac:dyDescent="0.25">
      <c r="A30" s="368" t="str">
        <f>'[8]Composições - Equipamentos'!A24</f>
        <v>DNIT –</v>
      </c>
      <c r="B30" s="258" t="str">
        <f>'[8]Composições - Equipamentos'!B24</f>
        <v>E9524</v>
      </c>
      <c r="C30" s="183" t="s">
        <v>530</v>
      </c>
      <c r="D30" s="373" t="str">
        <f>'[8]Composições - Equipamentos'!C24</f>
        <v>Motoniveladora - 93 kW (120K - Caterpillar)</v>
      </c>
      <c r="E30" s="373"/>
      <c r="F30" s="374"/>
      <c r="G30" s="369">
        <v>0</v>
      </c>
      <c r="H30" s="370">
        <v>1</v>
      </c>
      <c r="I30" s="369">
        <v>1</v>
      </c>
      <c r="J30" s="371">
        <v>1</v>
      </c>
      <c r="K30" s="372">
        <f>IF(H30=1,'[8]Composições - Equipamentos'!$S$44,IF(H30=2,'[8]Composições - Equipamentos'!$S$17,IF(H30=3,'[8]Composições - Equipamentos'!$S$39,IF(H30=4,'[8]Composições - Equipamentos'!$S$45,IF(H30=5,'[8]Composições - Equipamentos'!$S$48,0)))))</f>
        <v>238.44110000000001</v>
      </c>
      <c r="L30" s="367">
        <f t="shared" si="0"/>
        <v>0</v>
      </c>
    </row>
    <row r="31" spans="1:12" s="164" customFormat="1" ht="16" hidden="1" customHeight="1" x14ac:dyDescent="0.25">
      <c r="A31" s="368" t="str">
        <f>'[8]Composições - Equipamentos'!A25</f>
        <v>DNIT –</v>
      </c>
      <c r="B31" s="258" t="str">
        <f>'[8]Composições - Equipamentos'!B25</f>
        <v>E9526</v>
      </c>
      <c r="C31" s="183" t="s">
        <v>530</v>
      </c>
      <c r="D31" s="373" t="str">
        <f>'[8]Composições - Equipamentos'!C25</f>
        <v>Retroescavadeira de pneus - 58 kW (416E - Caterpillar)</v>
      </c>
      <c r="E31" s="373"/>
      <c r="F31" s="374"/>
      <c r="G31" s="369">
        <v>0</v>
      </c>
      <c r="H31" s="370">
        <v>0</v>
      </c>
      <c r="I31" s="369">
        <v>0</v>
      </c>
      <c r="J31" s="371">
        <v>0.5</v>
      </c>
      <c r="K31" s="372">
        <f>IF(H31=1,'[8]Composições - Equipamentos'!$S$44,IF(H31=2,'[8]Composições - Equipamentos'!$S$17,IF(H31=3,'[8]Composições - Equipamentos'!$S$39,IF(H31=4,'[8]Composições - Equipamentos'!$S$45,IF(H31=5,'[8]Composições - Equipamentos'!$S$48,0)))))</f>
        <v>0</v>
      </c>
      <c r="L31" s="367">
        <f t="shared" si="0"/>
        <v>0</v>
      </c>
    </row>
    <row r="32" spans="1:12" s="164" customFormat="1" ht="25" hidden="1" customHeight="1" x14ac:dyDescent="0.25">
      <c r="A32" s="368" t="str">
        <f>'[8]Composições - Equipamentos'!A30</f>
        <v>DNIT –</v>
      </c>
      <c r="B32" s="258" t="str">
        <f>'[8]Composições - Equipamentos'!B30</f>
        <v>E9537</v>
      </c>
      <c r="C32" s="183" t="s">
        <v>530</v>
      </c>
      <c r="D32" s="688" t="str">
        <f>'[8]Composições - Equipamentos'!C30</f>
        <v>Carregadeira de pneus com capacidade de 1,72 m³ - 113 kW (W20E - Case Construction)</v>
      </c>
      <c r="E32" s="688"/>
      <c r="F32" s="689"/>
      <c r="G32" s="369"/>
      <c r="H32" s="370">
        <v>1</v>
      </c>
      <c r="I32" s="369">
        <v>1</v>
      </c>
      <c r="J32" s="371">
        <v>0.5</v>
      </c>
      <c r="K32" s="372">
        <f>IF(H32=1,'[8]Composições - Equipamentos'!$S$44,IF(H32=2,'[8]Composições - Equipamentos'!$S$17,IF(H32=3,'[8]Composições - Equipamentos'!$S$39,IF(H32=4,'[8]Composições - Equipamentos'!$S$45,IF(H32=5,'[8]Composições - Equipamentos'!$S$48,0)))))</f>
        <v>238.44110000000001</v>
      </c>
      <c r="L32" s="367">
        <f t="shared" si="0"/>
        <v>0</v>
      </c>
    </row>
    <row r="33" spans="1:12" s="164" customFormat="1" ht="16" customHeight="1" x14ac:dyDescent="0.25">
      <c r="A33" s="368" t="str">
        <f>'[8]Composições - Equipamentos'!A31</f>
        <v>DNIT –</v>
      </c>
      <c r="B33" s="258" t="str">
        <f>'[8]Composições - Equipamentos'!B31</f>
        <v>E9540</v>
      </c>
      <c r="C33" s="183" t="s">
        <v>530</v>
      </c>
      <c r="D33" s="373" t="str">
        <f>'[8]Composições - Equipamentos'!C31</f>
        <v>Trator de esteiras com lâmina - 112 kW (D6N - Caterpillar)</v>
      </c>
      <c r="E33" s="373"/>
      <c r="F33" s="374"/>
      <c r="G33" s="369">
        <v>1</v>
      </c>
      <c r="H33" s="370">
        <v>1</v>
      </c>
      <c r="I33" s="369">
        <v>1</v>
      </c>
      <c r="J33" s="371">
        <v>0.5</v>
      </c>
      <c r="K33" s="372">
        <f>IF(H33=1,'[8]Composições - Equipamentos'!$S$44,IF(H33=2,'[8]Composições - Equipamentos'!$S$17,IF(H33=3,'[8]Composições - Equipamentos'!$S$39,IF(H33=4,'[8]Composições - Equipamentos'!$S$45,IF(H33=5,'[8]Composições - Equipamentos'!$S$48,0)))))</f>
        <v>238.44110000000001</v>
      </c>
      <c r="L33" s="367">
        <f t="shared" si="0"/>
        <v>590.14170000000001</v>
      </c>
    </row>
    <row r="34" spans="1:12" s="164" customFormat="1" ht="16" hidden="1" customHeight="1" x14ac:dyDescent="0.25">
      <c r="A34" s="368" t="str">
        <f>'[8]Composições - Equipamentos'!A32</f>
        <v>DNIT –</v>
      </c>
      <c r="B34" s="258" t="str">
        <f>'[8]Composições - Equipamentos'!B32</f>
        <v>E9541</v>
      </c>
      <c r="C34" s="183" t="s">
        <v>530</v>
      </c>
      <c r="D34" s="373" t="str">
        <f>'[8]Composições - Equipamentos'!C32</f>
        <v>Trator de esteiras com lâmina - 259 kW (D8T - Caterpillar)</v>
      </c>
      <c r="E34" s="373"/>
      <c r="F34" s="374"/>
      <c r="G34" s="369"/>
      <c r="H34" s="370">
        <v>1</v>
      </c>
      <c r="I34" s="369">
        <v>1</v>
      </c>
      <c r="J34" s="371">
        <v>1</v>
      </c>
      <c r="K34" s="372">
        <f>IF(H34=1,'[8]Composições - Equipamentos'!$S$44,IF(H34=2,'[8]Composições - Equipamentos'!$S$17,IF(H34=3,'[8]Composições - Equipamentos'!$S$39,IF(H34=4,'[8]Composições - Equipamentos'!$S$45,IF(H34=5,'[8]Composições - Equipamentos'!$S$48,0)))))</f>
        <v>238.44110000000001</v>
      </c>
      <c r="L34" s="367">
        <f t="shared" si="0"/>
        <v>0</v>
      </c>
    </row>
    <row r="35" spans="1:12" s="164" customFormat="1" ht="16" customHeight="1" x14ac:dyDescent="0.25">
      <c r="A35" s="368" t="str">
        <f>'[8]Composições - Equipamentos'!A38</f>
        <v>DNIT –</v>
      </c>
      <c r="B35" s="258" t="str">
        <f>'[8]Composições - Equipamentos'!B38</f>
        <v>E9577</v>
      </c>
      <c r="C35" s="183" t="s">
        <v>530</v>
      </c>
      <c r="D35" s="373" t="str">
        <f>'[8]Composições - Equipamentos'!C38</f>
        <v>Trator agrícola - 77 kW (MF 4292 - Massey Ferguson)</v>
      </c>
      <c r="E35" s="373"/>
      <c r="F35" s="374"/>
      <c r="G35" s="369">
        <v>1</v>
      </c>
      <c r="H35" s="370">
        <v>1</v>
      </c>
      <c r="I35" s="369">
        <v>1</v>
      </c>
      <c r="J35" s="371">
        <v>0.5</v>
      </c>
      <c r="K35" s="372">
        <f>IF(H35=1,'[8]Composições - Equipamentos'!$S$44,IF(H35=2,'[8]Composições - Equipamentos'!$S$17,IF(H35=3,'[8]Composições - Equipamentos'!$S$39,IF(H35=4,'[8]Composições - Equipamentos'!$S$45,IF(H35=5,'[8]Composições - Equipamentos'!$S$48,0)))))</f>
        <v>238.44110000000001</v>
      </c>
      <c r="L35" s="367">
        <f t="shared" si="0"/>
        <v>590.14170000000001</v>
      </c>
    </row>
    <row r="36" spans="1:12" s="164" customFormat="1" ht="25" customHeight="1" x14ac:dyDescent="0.25">
      <c r="A36" s="368" t="str">
        <f>'[8]Composições - Equipamentos'!A47</f>
        <v>DNIT –</v>
      </c>
      <c r="B36" s="258" t="str">
        <f>'[8]Composições - Equipamentos'!B47</f>
        <v>E9685</v>
      </c>
      <c r="C36" s="183" t="s">
        <v>530</v>
      </c>
      <c r="D36" s="688" t="str">
        <f>'[8]Composições - Equipamentos'!C47</f>
        <v>Rolo compactador pé de carneiro vibratório autopropelido de 11,6 t - 82 kW (CA 250 D - Dynapac)</v>
      </c>
      <c r="E36" s="688"/>
      <c r="F36" s="689"/>
      <c r="G36" s="369">
        <v>1</v>
      </c>
      <c r="H36" s="370">
        <v>1</v>
      </c>
      <c r="I36" s="369">
        <v>1</v>
      </c>
      <c r="J36" s="371">
        <v>0.5</v>
      </c>
      <c r="K36" s="372">
        <f>IF(H36=1,'[8]Composições - Equipamentos'!$S$44,IF(H36=2,'[8]Composições - Equipamentos'!$S$17,IF(H36=3,'[8]Composições - Equipamentos'!$S$39,IF(H36=4,'[8]Composições - Equipamentos'!$S$45,IF(H36=5,'[8]Composições - Equipamentos'!$S$48,0)))))</f>
        <v>238.44110000000001</v>
      </c>
      <c r="L36" s="367">
        <f t="shared" si="0"/>
        <v>590.14170000000001</v>
      </c>
    </row>
    <row r="37" spans="1:12" s="164" customFormat="1" ht="8.15" customHeight="1" x14ac:dyDescent="0.25">
      <c r="A37" s="375"/>
      <c r="B37" s="376"/>
      <c r="C37" s="377"/>
      <c r="D37" s="378"/>
      <c r="E37" s="378"/>
      <c r="F37" s="378"/>
      <c r="G37" s="379"/>
      <c r="H37" s="380"/>
      <c r="I37" s="379"/>
      <c r="J37" s="381"/>
      <c r="K37" s="382"/>
      <c r="L37" s="383"/>
    </row>
    <row r="38" spans="1:12" s="164" customFormat="1" ht="14.15" customHeight="1" x14ac:dyDescent="0.25">
      <c r="A38" s="368"/>
      <c r="B38" s="258"/>
      <c r="C38" s="183"/>
      <c r="D38" s="384"/>
      <c r="E38" s="384"/>
      <c r="F38" s="384"/>
      <c r="G38" s="179"/>
      <c r="H38" s="179"/>
      <c r="I38" s="179"/>
      <c r="J38" s="342"/>
      <c r="K38" s="372"/>
      <c r="L38" s="344"/>
    </row>
    <row r="39" spans="1:12" s="164" customFormat="1" ht="20.149999999999999" customHeight="1" x14ac:dyDescent="0.25">
      <c r="A39" s="385"/>
      <c r="B39" s="386" t="s">
        <v>587</v>
      </c>
      <c r="C39" s="387"/>
      <c r="D39" s="388"/>
      <c r="E39" s="388"/>
      <c r="F39" s="388"/>
      <c r="G39" s="356"/>
      <c r="H39" s="356"/>
      <c r="I39" s="356"/>
      <c r="J39" s="357"/>
      <c r="K39" s="389"/>
      <c r="L39" s="390">
        <f>ROUND(SUM(L40:L45),4)</f>
        <v>0</v>
      </c>
    </row>
    <row r="40" spans="1:12" s="164" customFormat="1" ht="25" hidden="1" customHeight="1" x14ac:dyDescent="0.25">
      <c r="A40" s="368" t="str">
        <f>'[8]Composições - Equipamentos'!A15</f>
        <v>DNIT –</v>
      </c>
      <c r="B40" s="258" t="str">
        <f>'[8]Composições - Equipamentos'!B15</f>
        <v>E9076</v>
      </c>
      <c r="C40" s="183" t="s">
        <v>530</v>
      </c>
      <c r="D40" s="688" t="str">
        <f>'[8]Composições - Equipamentos'!C15</f>
        <v>Equipamento de pintura com cabine de 7,00 kW e estufa de 80.000 kCal para pintura eletrostática</v>
      </c>
      <c r="E40" s="688"/>
      <c r="F40" s="689"/>
      <c r="G40" s="391"/>
      <c r="H40" s="363"/>
      <c r="I40" s="369"/>
      <c r="J40" s="371">
        <v>0.5</v>
      </c>
      <c r="K40" s="366">
        <f>IF(H40=2,'[8]Composições - Equipamentos'!$S$17,IF(H40=3,'[8]Composições - Equipamentos'!$S$39,IF(H40=4,'[8]Composições - Equipamentos'!$S$45,IF(H40=5,'[8]Composições - Equipamentos'!$S$48,0))))</f>
        <v>0</v>
      </c>
      <c r="L40" s="367">
        <f>ROUND((((($F$13*I40*J40)/$H$13)*K40)+((($F$14*I40*J40)/$H$14)*K40)+((($F$15*I40*J40)/$H$15)*K40))*G40,4)</f>
        <v>0</v>
      </c>
    </row>
    <row r="41" spans="1:12" s="164" customFormat="1" ht="14.15" hidden="1" customHeight="1" x14ac:dyDescent="0.25">
      <c r="A41" s="368" t="str">
        <f>'[8]Composições - Equipamentos'!A16</f>
        <v>DNIT –</v>
      </c>
      <c r="B41" s="258" t="str">
        <f>'[8]Composições - Equipamentos'!B16</f>
        <v>E9502</v>
      </c>
      <c r="C41" s="183" t="s">
        <v>530</v>
      </c>
      <c r="D41" s="373" t="str">
        <f>'[8]Composições - Equipamentos'!C16</f>
        <v>Bate-estaca de gravidade para 3,5 a 4,0 t - 119 Kw</v>
      </c>
      <c r="E41" s="373"/>
      <c r="F41" s="374"/>
      <c r="G41" s="369"/>
      <c r="H41" s="392"/>
      <c r="I41" s="369"/>
      <c r="J41" s="371">
        <v>1</v>
      </c>
      <c r="K41" s="372">
        <f>IF(H41=2,'[8]Composições - Equipamentos'!$S$17,IF(H41=3,'[8]Composições - Equipamentos'!$S$39,IF(H41=4,'[8]Composições - Equipamentos'!$S$45,IF(H41=5,'[8]Composições - Equipamentos'!$S$48,0))))</f>
        <v>0</v>
      </c>
      <c r="L41" s="367">
        <f>ROUND((((($F$13*I41*J41)/$H$13)*K41)+((($F$14*I41*J41)/$H$14)*K41)+((($F$15*I41*J41)/$H$15)*K41))*G41,4)</f>
        <v>0</v>
      </c>
    </row>
    <row r="42" spans="1:12" s="164" customFormat="1" ht="25" hidden="1" customHeight="1" x14ac:dyDescent="0.25">
      <c r="A42" s="368" t="str">
        <f>'[8]Composições - Equipamentos'!A27</f>
        <v>DNIT –</v>
      </c>
      <c r="B42" s="258" t="str">
        <f>'[8]Composições - Equipamentos'!B27</f>
        <v>E9531</v>
      </c>
      <c r="C42" s="183" t="s">
        <v>530</v>
      </c>
      <c r="D42" s="688" t="str">
        <f>'[8]Composições - Equipamentos'!C27</f>
        <v>Equipamento de sondagem a percussão com motobomba - 2,5 kW</v>
      </c>
      <c r="E42" s="688"/>
      <c r="F42" s="689"/>
      <c r="G42" s="369"/>
      <c r="H42" s="392"/>
      <c r="I42" s="369"/>
      <c r="J42" s="371">
        <v>1</v>
      </c>
      <c r="K42" s="372">
        <f>IF(H42=2,'[8]Composições - Equipamentos'!$S$17,IF(H42=3,'[8]Composições - Equipamentos'!$S$39,IF(H42=4,'[8]Composições - Equipamentos'!$S$45,IF(H42=5,'[8]Composições - Equipamentos'!$S$48,0))))</f>
        <v>0</v>
      </c>
      <c r="L42" s="367">
        <f>ROUND((((($F$13*I42*J42)/$H$13)*K42)+((($F$14*I42*J42)/$H$14)*K42)+((($F$15*I42*J42)/$H$15)*K42))*G42,4)</f>
        <v>0</v>
      </c>
    </row>
    <row r="43" spans="1:12" s="164" customFormat="1" ht="25" hidden="1" customHeight="1" x14ac:dyDescent="0.25">
      <c r="A43" s="368" t="str">
        <f>'[8]Composições - Equipamentos'!A28</f>
        <v>DNIT –</v>
      </c>
      <c r="B43" s="258" t="str">
        <f>'[8]Composições - Equipamentos'!B28</f>
        <v>E9533</v>
      </c>
      <c r="C43" s="183" t="s">
        <v>530</v>
      </c>
      <c r="D43" s="688" t="str">
        <f>'[8]Composições - Equipamentos'!C28</f>
        <v>Sonda rotativa com motor, bombas, mastro e cabeçote - 20 kW</v>
      </c>
      <c r="E43" s="688"/>
      <c r="F43" s="689"/>
      <c r="G43" s="369"/>
      <c r="H43" s="392"/>
      <c r="I43" s="369"/>
      <c r="J43" s="371">
        <v>1</v>
      </c>
      <c r="K43" s="372">
        <f>IF(H43=2,'[8]Composições - Equipamentos'!$S$17,IF(H43=3,'[8]Composições - Equipamentos'!$S$39,IF(H43=4,'[8]Composições - Equipamentos'!$S$45,IF(H43=5,'[8]Composições - Equipamentos'!$S$48,0))))</f>
        <v>0</v>
      </c>
      <c r="L43" s="367">
        <f>ROUND((((($F$13*I43*J43)/$H$13)*K43)+((($F$14*I43*J43)/$H$14)*K43)+((($F$15*I43*J43)/$H$15)*K43))*G43,4)</f>
        <v>0</v>
      </c>
    </row>
    <row r="44" spans="1:12" s="164" customFormat="1" ht="25" hidden="1" customHeight="1" x14ac:dyDescent="0.25">
      <c r="A44" s="368" t="str">
        <f>'[8]Composições - Equipamentos'!A36</f>
        <v>DNIT –</v>
      </c>
      <c r="B44" s="258" t="str">
        <f>'[8]Composições - Equipamentos'!B36</f>
        <v>E9574</v>
      </c>
      <c r="C44" s="183" t="s">
        <v>530</v>
      </c>
      <c r="D44" s="688" t="str">
        <f>'[8]Composições - Equipamentos'!C36</f>
        <v>Perfuratriz sobre esteiras - 145 kW (Power Roc T35 - Atlas Copco)</v>
      </c>
      <c r="E44" s="688"/>
      <c r="F44" s="689"/>
      <c r="G44" s="369"/>
      <c r="H44" s="392"/>
      <c r="I44" s="369"/>
      <c r="J44" s="371">
        <v>0.5</v>
      </c>
      <c r="K44" s="372">
        <f>IF(H44=2,'[8]Composições - Equipamentos'!$S$17,IF(H44=3,'[8]Composições - Equipamentos'!$S$39,IF(H44=4,'[8]Composições - Equipamentos'!$S$45,IF(H44=5,'[8]Composições - Equipamentos'!$S$48,0))))</f>
        <v>0</v>
      </c>
      <c r="L44" s="367">
        <f>ROUND((((($F$13*I44*J44)/$H$13)*K44)+((($F$14*I44*J44)/$H$14)*K44)+((($F$15*I44*J44)/$H$15)*K44))*G44,4)</f>
        <v>0</v>
      </c>
    </row>
    <row r="45" spans="1:12" s="164" customFormat="1" ht="8.15" customHeight="1" x14ac:dyDescent="0.25">
      <c r="A45" s="375"/>
      <c r="B45" s="376"/>
      <c r="C45" s="377"/>
      <c r="D45" s="378"/>
      <c r="E45" s="378"/>
      <c r="F45" s="378"/>
      <c r="G45" s="379"/>
      <c r="H45" s="379"/>
      <c r="I45" s="379"/>
      <c r="J45" s="381"/>
      <c r="K45" s="382"/>
      <c r="L45" s="383"/>
    </row>
    <row r="46" spans="1:12" s="164" customFormat="1" ht="14.15" customHeight="1" x14ac:dyDescent="0.25">
      <c r="A46" s="368"/>
      <c r="B46" s="258"/>
      <c r="C46" s="183"/>
      <c r="D46" s="384"/>
      <c r="E46" s="384"/>
      <c r="F46" s="393"/>
      <c r="G46" s="394"/>
      <c r="H46" s="394"/>
      <c r="I46" s="394"/>
      <c r="J46" s="395"/>
      <c r="K46" s="372"/>
      <c r="L46" s="344"/>
    </row>
    <row r="47" spans="1:12" s="164" customFormat="1" ht="20.149999999999999" customHeight="1" x14ac:dyDescent="0.25">
      <c r="A47" s="385"/>
      <c r="B47" s="386" t="s">
        <v>588</v>
      </c>
      <c r="C47" s="387"/>
      <c r="D47" s="388"/>
      <c r="E47" s="388"/>
      <c r="F47" s="388"/>
      <c r="G47" s="356"/>
      <c r="H47" s="356"/>
      <c r="I47" s="356"/>
      <c r="J47" s="357"/>
      <c r="K47" s="396"/>
      <c r="L47" s="390">
        <f>ROUND(SUM(L48:L54),4)</f>
        <v>6662.5698000000002</v>
      </c>
    </row>
    <row r="48" spans="1:12" s="164" customFormat="1" ht="25" hidden="1" customHeight="1" x14ac:dyDescent="0.25">
      <c r="A48" s="368" t="str">
        <f>'[8]Composições - Equipamentos'!A17</f>
        <v>DNIT –</v>
      </c>
      <c r="B48" s="258" t="str">
        <f>'[8]Composições - Equipamentos'!B17</f>
        <v>E9508</v>
      </c>
      <c r="C48" s="183" t="s">
        <v>530</v>
      </c>
      <c r="D48" s="688" t="str">
        <f>'[8]Composições - Equipamentos'!C17</f>
        <v>Caminhão carroceria com capacidade de 9 t - 136 kW (Atego 1419 - Mercedes-Benz)</v>
      </c>
      <c r="E48" s="688"/>
      <c r="F48" s="689"/>
      <c r="G48" s="369">
        <v>0</v>
      </c>
      <c r="H48" s="397" t="s">
        <v>589</v>
      </c>
      <c r="I48" s="362">
        <v>0</v>
      </c>
      <c r="J48" s="371">
        <v>1</v>
      </c>
      <c r="K48" s="372">
        <f>'[8]Composições - Equipamentos'!S17</f>
        <v>122.21339999999999</v>
      </c>
      <c r="L48" s="367">
        <f t="shared" ref="L48:L53" si="1">ROUND((((($F$13*I48*J48)/$H$13)*K48)+((($F$14*I48*J48)/$H$14)*K48)+((($F$15*I48*J48)/$H$15)*K48))*G48,4)</f>
        <v>0</v>
      </c>
    </row>
    <row r="49" spans="1:12" s="164" customFormat="1" ht="25" hidden="1" customHeight="1" x14ac:dyDescent="0.25">
      <c r="A49" s="368" t="str">
        <f>'[8]Composições - Equipamentos'!A39</f>
        <v>DNIT –</v>
      </c>
      <c r="B49" s="258" t="str">
        <f>'[8]Composições - Equipamentos'!B39</f>
        <v>E9579</v>
      </c>
      <c r="C49" s="183" t="s">
        <v>530</v>
      </c>
      <c r="D49" s="688" t="str">
        <f>'[8]Composições - Equipamentos'!C39</f>
        <v>Caminhão basculante com capacidade de 10 m³ - 210 kW (Atron 2729  - Mercedes-Benz)</v>
      </c>
      <c r="E49" s="688"/>
      <c r="F49" s="689"/>
      <c r="G49" s="369">
        <v>0</v>
      </c>
      <c r="H49" s="398" t="s">
        <v>589</v>
      </c>
      <c r="I49" s="391">
        <v>0</v>
      </c>
      <c r="J49" s="371">
        <v>1</v>
      </c>
      <c r="K49" s="372">
        <f>'[8]Composições - Equipamentos'!S39</f>
        <v>178.29300000000001</v>
      </c>
      <c r="L49" s="367">
        <f t="shared" si="1"/>
        <v>0</v>
      </c>
    </row>
    <row r="50" spans="1:12" s="164" customFormat="1" ht="16" customHeight="1" x14ac:dyDescent="0.25">
      <c r="A50" s="368" t="str">
        <f>'[8]Composições - Equipamentos'!A45</f>
        <v>DNIT –</v>
      </c>
      <c r="B50" s="258" t="str">
        <f>'[8]Composições - Equipamentos'!B45</f>
        <v>E9667</v>
      </c>
      <c r="C50" s="183" t="s">
        <v>530</v>
      </c>
      <c r="D50" s="373" t="str">
        <f>'[8]Composições - Equipamentos'!C45</f>
        <v>Caminhão basculante com capacidade de 14 m³ - 295 kW</v>
      </c>
      <c r="E50" s="373"/>
      <c r="F50" s="374"/>
      <c r="G50" s="369">
        <v>5</v>
      </c>
      <c r="H50" s="398" t="s">
        <v>589</v>
      </c>
      <c r="I50" s="391">
        <v>1</v>
      </c>
      <c r="J50" s="371">
        <v>1</v>
      </c>
      <c r="K50" s="372">
        <f>'[8]Composições - Equipamentos'!S45</f>
        <v>246.83369999999999</v>
      </c>
      <c r="L50" s="367">
        <f t="shared" si="1"/>
        <v>6109.1341000000002</v>
      </c>
    </row>
    <row r="51" spans="1:12" s="164" customFormat="1" ht="25" customHeight="1" x14ac:dyDescent="0.25">
      <c r="A51" s="368" t="str">
        <f>'[8]Composições - Equipamentos'!A46</f>
        <v>DNIT –</v>
      </c>
      <c r="B51" s="258" t="str">
        <f>'[8]Composições - Equipamentos'!B46</f>
        <v>E9684</v>
      </c>
      <c r="C51" s="183" t="s">
        <v>530</v>
      </c>
      <c r="D51" s="688" t="str">
        <f>'[8]Composições - Equipamentos'!C46</f>
        <v>Veículo leve Pick Up 4 x 4 - 147 kW (S10 - Chevrolet 4 x 4 - Cabine Dupla)</v>
      </c>
      <c r="E51" s="688"/>
      <c r="F51" s="689"/>
      <c r="G51" s="369">
        <v>1</v>
      </c>
      <c r="H51" s="398" t="s">
        <v>589</v>
      </c>
      <c r="I51" s="391">
        <v>1</v>
      </c>
      <c r="J51" s="371">
        <v>1</v>
      </c>
      <c r="K51" s="372">
        <f>'[8]Composições - Equipamentos'!S46</f>
        <v>111.8052</v>
      </c>
      <c r="L51" s="367">
        <f t="shared" si="1"/>
        <v>553.4357</v>
      </c>
    </row>
    <row r="52" spans="1:12" s="164" customFormat="1" ht="25" hidden="1" customHeight="1" x14ac:dyDescent="0.25">
      <c r="A52" s="368" t="str">
        <f>'[8]Composições - Equipamentos'!A48</f>
        <v>DNIT –</v>
      </c>
      <c r="B52" s="258" t="str">
        <f>'[8]Composições - Equipamentos'!B48</f>
        <v>E9686</v>
      </c>
      <c r="C52" s="183" t="s">
        <v>530</v>
      </c>
      <c r="D52" s="688" t="str">
        <f>'[8]Composições - Equipamentos'!C48</f>
        <v>Caminhão carroceria com guindauto com capacidade de 30 t.m - 136 kW</v>
      </c>
      <c r="E52" s="688"/>
      <c r="F52" s="689"/>
      <c r="G52" s="369"/>
      <c r="H52" s="398" t="s">
        <v>589</v>
      </c>
      <c r="I52" s="391"/>
      <c r="J52" s="371">
        <v>1</v>
      </c>
      <c r="K52" s="372">
        <f>'[8]Composições - Equipamentos'!S48</f>
        <v>127.1318</v>
      </c>
      <c r="L52" s="367">
        <f t="shared" si="1"/>
        <v>0</v>
      </c>
    </row>
    <row r="53" spans="1:12" s="164" customFormat="1" ht="25" hidden="1" customHeight="1" x14ac:dyDescent="0.25">
      <c r="A53" s="368" t="str">
        <f>'[8]Composições - Equipamentos'!A49</f>
        <v>DNIT –</v>
      </c>
      <c r="B53" s="258" t="str">
        <f>'[8]Composições - Equipamentos'!B49</f>
        <v>E9687</v>
      </c>
      <c r="C53" s="183" t="s">
        <v>530</v>
      </c>
      <c r="D53" s="688" t="str">
        <f>'[8]Composições - Equipamentos'!C49</f>
        <v>Caminhão carroceria com capacidade de 4 t - 115 Kw (Accelo 815 - Mercedes-Benz</v>
      </c>
      <c r="E53" s="688"/>
      <c r="F53" s="689"/>
      <c r="G53" s="369"/>
      <c r="H53" s="398" t="s">
        <v>589</v>
      </c>
      <c r="I53" s="391"/>
      <c r="J53" s="371">
        <v>1</v>
      </c>
      <c r="K53" s="372">
        <f>'[8]Composições - Equipamentos'!S49</f>
        <v>103.5628</v>
      </c>
      <c r="L53" s="367">
        <f t="shared" si="1"/>
        <v>0</v>
      </c>
    </row>
    <row r="54" spans="1:12" s="164" customFormat="1" ht="8.15" customHeight="1" x14ac:dyDescent="0.25">
      <c r="A54" s="375"/>
      <c r="B54" s="376"/>
      <c r="C54" s="377"/>
      <c r="D54" s="378"/>
      <c r="E54" s="378"/>
      <c r="F54" s="378"/>
      <c r="G54" s="399"/>
      <c r="H54" s="379"/>
      <c r="I54" s="379"/>
      <c r="J54" s="381"/>
      <c r="K54" s="382"/>
      <c r="L54" s="383"/>
    </row>
    <row r="55" spans="1:12" s="164" customFormat="1" ht="14.15" customHeight="1" x14ac:dyDescent="0.25">
      <c r="A55" s="400"/>
      <c r="B55" s="224"/>
      <c r="C55" s="224"/>
      <c r="D55" s="224"/>
      <c r="E55" s="224"/>
      <c r="F55" s="224"/>
      <c r="G55" s="224"/>
      <c r="H55" s="224"/>
      <c r="I55" s="224"/>
      <c r="J55" s="224"/>
      <c r="K55" s="401" t="s">
        <v>590</v>
      </c>
      <c r="L55" s="402">
        <f>ROUND(L25+L39+L47,4)</f>
        <v>10793.5617</v>
      </c>
    </row>
    <row r="56" spans="1:12" s="164" customFormat="1" ht="3" customHeight="1" x14ac:dyDescent="0.25">
      <c r="A56" s="193"/>
      <c r="B56" s="193"/>
      <c r="C56" s="193"/>
      <c r="D56" s="193"/>
      <c r="E56" s="193"/>
      <c r="F56" s="193"/>
      <c r="G56" s="193"/>
      <c r="H56" s="194"/>
      <c r="I56" s="403"/>
      <c r="J56" s="403"/>
      <c r="K56" s="403"/>
      <c r="L56" s="403"/>
    </row>
    <row r="57" spans="1:12" s="164" customFormat="1" ht="14.15" customHeight="1" x14ac:dyDescent="0.25">
      <c r="A57" s="620" t="s">
        <v>526</v>
      </c>
      <c r="B57" s="621"/>
      <c r="C57" s="621"/>
      <c r="D57" s="621"/>
      <c r="E57" s="175"/>
      <c r="F57" s="628" t="s">
        <v>591</v>
      </c>
      <c r="G57" s="630"/>
      <c r="H57" s="629"/>
      <c r="I57" s="628" t="s">
        <v>528</v>
      </c>
      <c r="J57" s="630"/>
      <c r="K57" s="629"/>
      <c r="L57" s="641" t="s">
        <v>592</v>
      </c>
    </row>
    <row r="58" spans="1:12" s="164" customFormat="1" ht="14.15" customHeight="1" x14ac:dyDescent="0.25">
      <c r="A58" s="638"/>
      <c r="B58" s="639"/>
      <c r="C58" s="639"/>
      <c r="D58" s="639"/>
      <c r="E58" s="404"/>
      <c r="F58" s="251" t="s">
        <v>579</v>
      </c>
      <c r="G58" s="251" t="s">
        <v>545</v>
      </c>
      <c r="H58" s="251" t="s">
        <v>593</v>
      </c>
      <c r="I58" s="251" t="s">
        <v>594</v>
      </c>
      <c r="J58" s="251" t="s">
        <v>595</v>
      </c>
      <c r="K58" s="405" t="s">
        <v>596</v>
      </c>
      <c r="L58" s="642"/>
    </row>
    <row r="59" spans="1:12" s="164" customFormat="1" ht="14.15" customHeight="1" x14ac:dyDescent="0.25">
      <c r="A59" s="406"/>
      <c r="B59" s="407" t="s">
        <v>597</v>
      </c>
      <c r="C59" s="408"/>
      <c r="D59" s="409"/>
      <c r="E59" s="409"/>
      <c r="F59" s="410"/>
      <c r="G59" s="410"/>
      <c r="H59" s="408"/>
      <c r="I59" s="411"/>
      <c r="J59" s="411"/>
      <c r="K59" s="412"/>
      <c r="L59" s="413">
        <f>L62</f>
        <v>399.76069999999999</v>
      </c>
    </row>
    <row r="60" spans="1:12" s="164" customFormat="1" ht="14.15" hidden="1" customHeight="1" x14ac:dyDescent="0.25">
      <c r="A60" s="414" t="str">
        <f>'[8]Atualização de custos unitarios'!A74</f>
        <v>DNIT –</v>
      </c>
      <c r="B60" s="360" t="str">
        <f>'[8]Atualização de custos unitarios'!B74</f>
        <v>NS - P1</v>
      </c>
      <c r="C60" s="361" t="s">
        <v>530</v>
      </c>
      <c r="D60" s="415" t="str">
        <f>'[8]Atualização de custos unitarios'!C74</f>
        <v>Engenheiro / Profissional Sênior</v>
      </c>
      <c r="E60" s="415"/>
      <c r="F60" s="416">
        <f>ROUND(($F$13/$H$13+$F$14/$H$14+$F$15/$H$15),5)</f>
        <v>4.95</v>
      </c>
      <c r="G60" s="417">
        <f>'[8]Atualização de custos unitarios'!E74/220</f>
        <v>59.56195454545454</v>
      </c>
      <c r="H60" s="417">
        <f t="shared" ref="H60:H65" si="2">ROUND(F60*G60,4)</f>
        <v>294.83170000000001</v>
      </c>
      <c r="I60" s="213">
        <v>0</v>
      </c>
      <c r="J60" s="213">
        <v>0</v>
      </c>
      <c r="K60" s="213">
        <v>0</v>
      </c>
      <c r="L60" s="367">
        <f t="shared" ref="L60:L65" si="3">ROUND(SUM(H60:K60),4)</f>
        <v>294.83170000000001</v>
      </c>
    </row>
    <row r="61" spans="1:12" s="164" customFormat="1" ht="14.15" hidden="1" customHeight="1" x14ac:dyDescent="0.25">
      <c r="A61" s="181" t="str">
        <f>'[8]Atualização de custos unitarios'!A75</f>
        <v>DNIT –</v>
      </c>
      <c r="B61" s="258" t="str">
        <f>'[8]Atualização de custos unitarios'!B75</f>
        <v>NS - P2</v>
      </c>
      <c r="C61" s="183" t="s">
        <v>530</v>
      </c>
      <c r="D61" s="184" t="str">
        <f>'[8]Atualização de custos unitarios'!C75</f>
        <v>Engenheiro / Profissional Pleno</v>
      </c>
      <c r="E61" s="184"/>
      <c r="F61" s="418">
        <f>ROUND(($F$13/$H$13+$F$14/$H$14+$F$15/$H$15),5)</f>
        <v>4.95</v>
      </c>
      <c r="G61" s="205">
        <f>'[8]Atualização de custos unitarios'!E75/220</f>
        <v>46.596772727272729</v>
      </c>
      <c r="H61" s="205">
        <f t="shared" si="2"/>
        <v>230.654</v>
      </c>
      <c r="I61" s="213">
        <v>0</v>
      </c>
      <c r="J61" s="213">
        <v>0</v>
      </c>
      <c r="K61" s="213">
        <v>0</v>
      </c>
      <c r="L61" s="367">
        <f t="shared" si="3"/>
        <v>230.654</v>
      </c>
    </row>
    <row r="62" spans="1:12" s="164" customFormat="1" ht="14.15" customHeight="1" x14ac:dyDescent="0.25">
      <c r="A62" s="181" t="str">
        <f>'[8]Atualização de custos unitarios'!A76</f>
        <v>DNIT –</v>
      </c>
      <c r="B62" s="258" t="str">
        <f>'[8]Atualização de custos unitarios'!B76</f>
        <v>NS - P3</v>
      </c>
      <c r="C62" s="183" t="s">
        <v>530</v>
      </c>
      <c r="D62" s="184" t="str">
        <f>'[8]Atualização de custos unitarios'!C76</f>
        <v>Engenheiro / Profissional Júnior</v>
      </c>
      <c r="E62" s="184"/>
      <c r="F62" s="418">
        <f>ROUND(($F$13/$H$13+$F$14/$H$14+$F$15/$H$15),5)</f>
        <v>4.95</v>
      </c>
      <c r="G62" s="205">
        <f>'[8]Atualização de custos unitarios'!E76/220</f>
        <v>38.335499999999996</v>
      </c>
      <c r="H62" s="205">
        <f t="shared" si="2"/>
        <v>189.76070000000001</v>
      </c>
      <c r="I62" s="213">
        <v>80</v>
      </c>
      <c r="J62" s="213">
        <v>80</v>
      </c>
      <c r="K62" s="213">
        <v>50</v>
      </c>
      <c r="L62" s="367">
        <f t="shared" si="3"/>
        <v>399.76069999999999</v>
      </c>
    </row>
    <row r="63" spans="1:12" s="164" customFormat="1" ht="14.15" hidden="1" customHeight="1" x14ac:dyDescent="0.25">
      <c r="A63" s="207"/>
      <c r="B63" s="208"/>
      <c r="C63" s="209"/>
      <c r="D63" s="210"/>
      <c r="E63" s="210"/>
      <c r="F63" s="419"/>
      <c r="G63" s="213"/>
      <c r="H63" s="205">
        <f t="shared" si="2"/>
        <v>0</v>
      </c>
      <c r="I63" s="213"/>
      <c r="J63" s="213"/>
      <c r="K63" s="213"/>
      <c r="L63" s="367">
        <f t="shared" si="3"/>
        <v>0</v>
      </c>
    </row>
    <row r="64" spans="1:12" s="164" customFormat="1" ht="14.15" hidden="1" customHeight="1" x14ac:dyDescent="0.25">
      <c r="A64" s="207"/>
      <c r="B64" s="208"/>
      <c r="C64" s="209"/>
      <c r="D64" s="210"/>
      <c r="E64" s="210"/>
      <c r="F64" s="419"/>
      <c r="G64" s="213"/>
      <c r="H64" s="205">
        <f t="shared" si="2"/>
        <v>0</v>
      </c>
      <c r="I64" s="213"/>
      <c r="J64" s="213"/>
      <c r="K64" s="213"/>
      <c r="L64" s="367">
        <f t="shared" si="3"/>
        <v>0</v>
      </c>
    </row>
    <row r="65" spans="1:12" s="164" customFormat="1" ht="14.15" hidden="1" customHeight="1" x14ac:dyDescent="0.25">
      <c r="A65" s="207"/>
      <c r="B65" s="208"/>
      <c r="C65" s="209"/>
      <c r="D65" s="210"/>
      <c r="E65" s="210"/>
      <c r="F65" s="419"/>
      <c r="G65" s="213"/>
      <c r="H65" s="205">
        <f t="shared" si="2"/>
        <v>0</v>
      </c>
      <c r="I65" s="213"/>
      <c r="J65" s="213"/>
      <c r="K65" s="213"/>
      <c r="L65" s="367">
        <f t="shared" si="3"/>
        <v>0</v>
      </c>
    </row>
    <row r="66" spans="1:12" s="164" customFormat="1" ht="8.15" customHeight="1" x14ac:dyDescent="0.25">
      <c r="A66" s="375"/>
      <c r="B66" s="376"/>
      <c r="C66" s="377"/>
      <c r="D66" s="378"/>
      <c r="E66" s="378"/>
      <c r="F66" s="378"/>
      <c r="G66" s="399"/>
      <c r="H66" s="379"/>
      <c r="I66" s="379"/>
      <c r="J66" s="381"/>
      <c r="K66" s="382"/>
      <c r="L66" s="383"/>
    </row>
    <row r="67" spans="1:12" s="164" customFormat="1" ht="14.15" customHeight="1" x14ac:dyDescent="0.25">
      <c r="A67" s="406"/>
      <c r="B67" s="407" t="s">
        <v>598</v>
      </c>
      <c r="C67" s="408"/>
      <c r="D67" s="409"/>
      <c r="E67" s="409"/>
      <c r="F67" s="410"/>
      <c r="G67" s="420"/>
      <c r="H67" s="420"/>
      <c r="I67" s="420"/>
      <c r="J67" s="420"/>
      <c r="K67" s="421"/>
      <c r="L67" s="390">
        <f>ROUND(SUM(L68:L73),4)</f>
        <v>503.32990000000001</v>
      </c>
    </row>
    <row r="68" spans="1:12" s="164" customFormat="1" ht="25" customHeight="1" x14ac:dyDescent="0.25">
      <c r="A68" s="181" t="str">
        <f>'[8]Atualização de custos unitarios'!A77</f>
        <v>DNIT –</v>
      </c>
      <c r="B68" s="258" t="str">
        <f>'[8]Atualização de custos unitarios'!B77</f>
        <v>NT - T2</v>
      </c>
      <c r="C68" s="183" t="s">
        <v>530</v>
      </c>
      <c r="D68" s="694" t="str">
        <f>'[8]Atualização de custos unitarios'!C77</f>
        <v>Técnico Pleno (Topógrafo / Desenhista Projetista)</v>
      </c>
      <c r="E68" s="695"/>
      <c r="F68" s="418">
        <f>ROUND(($F$13/$H$13+$F$14/$H$14+$F$15/$H$15),5)</f>
        <v>4.95</v>
      </c>
      <c r="G68" s="205">
        <f>'[8]Atualização de custos unitarios'!E77/220</f>
        <v>15.575681818181819</v>
      </c>
      <c r="H68" s="205">
        <f>ROUND(F68*G68,4)</f>
        <v>77.099599999999995</v>
      </c>
      <c r="I68" s="213">
        <v>80</v>
      </c>
      <c r="J68" s="213">
        <v>80</v>
      </c>
      <c r="K68" s="213">
        <v>30</v>
      </c>
      <c r="L68" s="367">
        <f>ROUND(SUM(H68:K68),4)</f>
        <v>267.09960000000001</v>
      </c>
    </row>
    <row r="69" spans="1:12" s="164" customFormat="1" ht="14.15" customHeight="1" x14ac:dyDescent="0.25">
      <c r="A69" s="181" t="str">
        <f>'[8]Atualização de custos unitarios'!A78</f>
        <v>DNIT –</v>
      </c>
      <c r="B69" s="258" t="str">
        <f>'[8]Atualização de custos unitarios'!B78</f>
        <v>NT - T4</v>
      </c>
      <c r="C69" s="183" t="s">
        <v>530</v>
      </c>
      <c r="D69" s="184" t="str">
        <f>'[8]Atualização de custos unitarios'!C78</f>
        <v>Técnico Auxiliar</v>
      </c>
      <c r="E69" s="184"/>
      <c r="F69" s="418">
        <f>ROUND(($F$13/$H$13+$F$14/$H$14+$F$15/$H$15),5)</f>
        <v>4.95</v>
      </c>
      <c r="G69" s="205">
        <f>'[8]Atualização de custos unitarios'!E78/220</f>
        <v>9.3394545454545455</v>
      </c>
      <c r="H69" s="205">
        <f>ROUND(F69*G69,4)</f>
        <v>46.2303</v>
      </c>
      <c r="I69" s="213">
        <v>80</v>
      </c>
      <c r="J69" s="213">
        <v>80</v>
      </c>
      <c r="K69" s="213">
        <v>30</v>
      </c>
      <c r="L69" s="367">
        <f>ROUND(SUM(H69:K69),4)</f>
        <v>236.2303</v>
      </c>
    </row>
    <row r="70" spans="1:12" s="164" customFormat="1" ht="14.15" hidden="1" customHeight="1" x14ac:dyDescent="0.25">
      <c r="A70" s="207"/>
      <c r="B70" s="208"/>
      <c r="C70" s="209"/>
      <c r="D70" s="210"/>
      <c r="E70" s="210"/>
      <c r="F70" s="419"/>
      <c r="G70" s="213"/>
      <c r="H70" s="205">
        <f>ROUND(F70*G70,4)</f>
        <v>0</v>
      </c>
      <c r="I70" s="213"/>
      <c r="J70" s="213"/>
      <c r="K70" s="213"/>
      <c r="L70" s="367">
        <f>ROUND(SUM(H70:K70),4)</f>
        <v>0</v>
      </c>
    </row>
    <row r="71" spans="1:12" s="164" customFormat="1" ht="14.15" hidden="1" customHeight="1" x14ac:dyDescent="0.25">
      <c r="A71" s="207"/>
      <c r="B71" s="208"/>
      <c r="C71" s="209"/>
      <c r="D71" s="210"/>
      <c r="E71" s="210"/>
      <c r="F71" s="419"/>
      <c r="G71" s="213"/>
      <c r="H71" s="205">
        <f>ROUND(F71*G71,4)</f>
        <v>0</v>
      </c>
      <c r="I71" s="213"/>
      <c r="J71" s="213"/>
      <c r="K71" s="213"/>
      <c r="L71" s="367">
        <f>ROUND(SUM(H71:K71),4)</f>
        <v>0</v>
      </c>
    </row>
    <row r="72" spans="1:12" s="164" customFormat="1" ht="14.15" hidden="1" customHeight="1" x14ac:dyDescent="0.25">
      <c r="A72" s="207"/>
      <c r="B72" s="208"/>
      <c r="C72" s="209"/>
      <c r="D72" s="210"/>
      <c r="E72" s="210"/>
      <c r="F72" s="419"/>
      <c r="G72" s="213"/>
      <c r="H72" s="205">
        <f>ROUND(F72*G72,4)</f>
        <v>0</v>
      </c>
      <c r="I72" s="213"/>
      <c r="J72" s="213"/>
      <c r="K72" s="213"/>
      <c r="L72" s="367">
        <f>ROUND(SUM(H72:K72),4)</f>
        <v>0</v>
      </c>
    </row>
    <row r="73" spans="1:12" s="164" customFormat="1" ht="8.15" customHeight="1" x14ac:dyDescent="0.25">
      <c r="A73" s="375"/>
      <c r="B73" s="376"/>
      <c r="C73" s="377"/>
      <c r="D73" s="378"/>
      <c r="E73" s="378"/>
      <c r="F73" s="378"/>
      <c r="G73" s="399"/>
      <c r="H73" s="379"/>
      <c r="I73" s="379"/>
      <c r="J73" s="381"/>
      <c r="K73" s="382"/>
      <c r="L73" s="383"/>
    </row>
    <row r="74" spans="1:12" s="164" customFormat="1" ht="14.15" customHeight="1" x14ac:dyDescent="0.25">
      <c r="A74" s="406"/>
      <c r="B74" s="407" t="s">
        <v>599</v>
      </c>
      <c r="C74" s="408"/>
      <c r="D74" s="409"/>
      <c r="E74" s="409"/>
      <c r="F74" s="410"/>
      <c r="G74" s="420"/>
      <c r="H74" s="420"/>
      <c r="I74" s="420"/>
      <c r="J74" s="420"/>
      <c r="K74" s="421"/>
      <c r="L74" s="390">
        <f>ROUND(SUM(L75:L82),4)</f>
        <v>872.63909999999998</v>
      </c>
    </row>
    <row r="75" spans="1:12" s="164" customFormat="1" ht="14.15" customHeight="1" x14ac:dyDescent="0.25">
      <c r="A75" s="181" t="str">
        <f>'[8]Atualização de custos unitarios'!A63</f>
        <v>DNIT –</v>
      </c>
      <c r="B75" s="258" t="str">
        <f>'[8]Atualização de custos unitarios'!B63</f>
        <v>P9843</v>
      </c>
      <c r="C75" s="183" t="s">
        <v>530</v>
      </c>
      <c r="D75" s="184" t="str">
        <f>'[8]Atualização de custos unitarios'!C63</f>
        <v>Operador de equipamento leve</v>
      </c>
      <c r="E75" s="184"/>
      <c r="F75" s="418">
        <f>ROUND(($F$13/$H$13+$F$14/$H$14+$F$15/$H$15),5)</f>
        <v>4.95</v>
      </c>
      <c r="G75" s="205">
        <f>'[8]Atualização de custos unitarios'!E63</f>
        <v>22.273800000000001</v>
      </c>
      <c r="H75" s="205">
        <f t="shared" ref="H75:H81" si="4">ROUND(F75*G75,4)</f>
        <v>110.25530000000001</v>
      </c>
      <c r="I75" s="213">
        <v>80</v>
      </c>
      <c r="J75" s="213">
        <v>50</v>
      </c>
      <c r="K75" s="213">
        <v>30</v>
      </c>
      <c r="L75" s="367">
        <f t="shared" ref="L75:L81" si="5">ROUND(SUM(H75:K75),4)</f>
        <v>270.25529999999998</v>
      </c>
    </row>
    <row r="76" spans="1:12" s="164" customFormat="1" ht="14.15" customHeight="1" x14ac:dyDescent="0.25">
      <c r="A76" s="181" t="str">
        <f>'[8]Atualização de custos unitarios'!A64</f>
        <v>DNIT –</v>
      </c>
      <c r="B76" s="258" t="str">
        <f>'[8]Atualização de custos unitarios'!B64</f>
        <v>P9845</v>
      </c>
      <c r="C76" s="183" t="s">
        <v>530</v>
      </c>
      <c r="D76" s="184" t="str">
        <f>'[8]Atualização de custos unitarios'!C64</f>
        <v>Operador de equipamento pesado</v>
      </c>
      <c r="E76" s="184"/>
      <c r="F76" s="418">
        <f>ROUND(($F$13/$H$13+$F$14/$H$14+$F$15/$H$15),5)</f>
        <v>4.95</v>
      </c>
      <c r="G76" s="205">
        <f>'[8]Atualização de custos unitarios'!E64</f>
        <v>26.548500000000001</v>
      </c>
      <c r="H76" s="205">
        <f t="shared" si="4"/>
        <v>131.4151</v>
      </c>
      <c r="I76" s="213">
        <v>80</v>
      </c>
      <c r="J76" s="213">
        <v>50</v>
      </c>
      <c r="K76" s="213">
        <v>30</v>
      </c>
      <c r="L76" s="367">
        <f t="shared" si="5"/>
        <v>291.4151</v>
      </c>
    </row>
    <row r="77" spans="1:12" s="164" customFormat="1" ht="14.15" customHeight="1" x14ac:dyDescent="0.25">
      <c r="A77" s="181" t="str">
        <f>'[8]Atualização de custos unitarios'!A65</f>
        <v>DNIT –</v>
      </c>
      <c r="B77" s="258" t="str">
        <f>'[8]Atualização de custos unitarios'!B65</f>
        <v>P9846</v>
      </c>
      <c r="C77" s="183" t="s">
        <v>530</v>
      </c>
      <c r="D77" s="184" t="str">
        <f>'[8]Atualização de custos unitarios'!C65</f>
        <v xml:space="preserve">Operador de equipamento especial </v>
      </c>
      <c r="E77" s="184"/>
      <c r="F77" s="418">
        <f>ROUND(($F$13/$H$13+$F$14/$H$14+$F$15/$H$15),5)</f>
        <v>4.95</v>
      </c>
      <c r="G77" s="205">
        <f>'[8]Atualização de custos unitarios'!E65</f>
        <v>30.483899999999998</v>
      </c>
      <c r="H77" s="205">
        <f t="shared" si="4"/>
        <v>150.89529999999999</v>
      </c>
      <c r="I77" s="213">
        <v>80</v>
      </c>
      <c r="J77" s="213">
        <v>50</v>
      </c>
      <c r="K77" s="213">
        <v>30</v>
      </c>
      <c r="L77" s="367">
        <f t="shared" si="5"/>
        <v>310.89530000000002</v>
      </c>
    </row>
    <row r="78" spans="1:12" s="164" customFormat="1" ht="14.15" hidden="1" customHeight="1" x14ac:dyDescent="0.25">
      <c r="A78" s="181"/>
      <c r="B78" s="258"/>
      <c r="C78" s="183"/>
      <c r="D78" s="184"/>
      <c r="E78" s="184"/>
      <c r="F78" s="418">
        <f>ROUND(($F$13/$H$13+$F$14/$H$14+$F$15/$H$15),5)</f>
        <v>4.95</v>
      </c>
      <c r="G78" s="205">
        <f>'[8]Atualização de custos unitarios'!E90/220</f>
        <v>1.4833636363636363E-2</v>
      </c>
      <c r="H78" s="205">
        <f>ROUND(F78*G78,4)</f>
        <v>7.3400000000000007E-2</v>
      </c>
      <c r="I78" s="213"/>
      <c r="J78" s="213"/>
      <c r="K78" s="213"/>
      <c r="L78" s="367">
        <f>ROUND(SUM(H78:K78),4)</f>
        <v>7.3400000000000007E-2</v>
      </c>
    </row>
    <row r="79" spans="1:12" s="164" customFormat="1" ht="14.15" hidden="1" customHeight="1" x14ac:dyDescent="0.25">
      <c r="A79" s="207"/>
      <c r="B79" s="208"/>
      <c r="C79" s="209"/>
      <c r="D79" s="210"/>
      <c r="E79" s="210"/>
      <c r="F79" s="419"/>
      <c r="G79" s="213"/>
      <c r="H79" s="205">
        <f t="shared" si="4"/>
        <v>0</v>
      </c>
      <c r="I79" s="213"/>
      <c r="J79" s="213"/>
      <c r="K79" s="213"/>
      <c r="L79" s="367">
        <f t="shared" si="5"/>
        <v>0</v>
      </c>
    </row>
    <row r="80" spans="1:12" s="164" customFormat="1" ht="14.15" hidden="1" customHeight="1" x14ac:dyDescent="0.25">
      <c r="A80" s="207"/>
      <c r="B80" s="208"/>
      <c r="C80" s="209"/>
      <c r="D80" s="210"/>
      <c r="E80" s="210"/>
      <c r="F80" s="419"/>
      <c r="G80" s="213"/>
      <c r="H80" s="205">
        <f t="shared" si="4"/>
        <v>0</v>
      </c>
      <c r="I80" s="213"/>
      <c r="J80" s="213"/>
      <c r="K80" s="213"/>
      <c r="L80" s="367">
        <f t="shared" si="5"/>
        <v>0</v>
      </c>
    </row>
    <row r="81" spans="1:12" s="164" customFormat="1" ht="14.15" hidden="1" customHeight="1" x14ac:dyDescent="0.25">
      <c r="A81" s="207"/>
      <c r="B81" s="208"/>
      <c r="C81" s="209"/>
      <c r="D81" s="210"/>
      <c r="E81" s="210"/>
      <c r="F81" s="419"/>
      <c r="G81" s="213"/>
      <c r="H81" s="205">
        <f t="shared" si="4"/>
        <v>0</v>
      </c>
      <c r="I81" s="213"/>
      <c r="J81" s="213"/>
      <c r="K81" s="213"/>
      <c r="L81" s="367">
        <f t="shared" si="5"/>
        <v>0</v>
      </c>
    </row>
    <row r="82" spans="1:12" s="164" customFormat="1" ht="8.15" customHeight="1" x14ac:dyDescent="0.25">
      <c r="A82" s="375"/>
      <c r="B82" s="376"/>
      <c r="C82" s="377"/>
      <c r="D82" s="378"/>
      <c r="E82" s="378"/>
      <c r="F82" s="378"/>
      <c r="G82" s="399"/>
      <c r="H82" s="379"/>
      <c r="I82" s="379"/>
      <c r="J82" s="381"/>
      <c r="K82" s="382"/>
      <c r="L82" s="383"/>
    </row>
    <row r="83" spans="1:12" s="164" customFormat="1" ht="14.15" customHeight="1" x14ac:dyDescent="0.25">
      <c r="A83" s="406"/>
      <c r="B83" s="407" t="s">
        <v>600</v>
      </c>
      <c r="C83" s="408"/>
      <c r="D83" s="409"/>
      <c r="E83" s="409"/>
      <c r="F83" s="410"/>
      <c r="G83" s="420"/>
      <c r="H83" s="420"/>
      <c r="I83" s="420"/>
      <c r="J83" s="420"/>
      <c r="K83" s="421"/>
      <c r="L83" s="390">
        <v>0</v>
      </c>
    </row>
    <row r="84" spans="1:12" s="164" customFormat="1" ht="14.15" hidden="1" customHeight="1" x14ac:dyDescent="0.25">
      <c r="A84" s="181" t="str">
        <f>'[8]Atualização de custos unitarios'!A54</f>
        <v>DNIT –</v>
      </c>
      <c r="B84" s="258" t="str">
        <f>'[8]Atualização de custos unitarios'!B54</f>
        <v>P9801</v>
      </c>
      <c r="C84" s="183" t="s">
        <v>530</v>
      </c>
      <c r="D84" s="184" t="str">
        <f>'[8]Atualização de custos unitarios'!C54</f>
        <v>Ajudante</v>
      </c>
      <c r="E84" s="184"/>
      <c r="F84" s="418">
        <f t="shared" ref="F84:F93" si="6">ROUND(($F$13/$H$13+$F$14/$H$14+$F$15/$H$15),5)</f>
        <v>4.95</v>
      </c>
      <c r="G84" s="205">
        <f>'[8]Atualização de custos unitarios'!E54</f>
        <v>14.9375</v>
      </c>
      <c r="H84" s="205">
        <f t="shared" ref="H84:H96" si="7">ROUND(F84*G84,4)</f>
        <v>73.940600000000003</v>
      </c>
      <c r="I84" s="213">
        <v>0</v>
      </c>
      <c r="J84" s="213">
        <v>0</v>
      </c>
      <c r="K84" s="213">
        <v>0</v>
      </c>
      <c r="L84" s="367">
        <f t="shared" ref="L84:L96" si="8">ROUND(SUM(H84:K84),4)</f>
        <v>73.940600000000003</v>
      </c>
    </row>
    <row r="85" spans="1:12" s="164" customFormat="1" ht="14.15" hidden="1" customHeight="1" x14ac:dyDescent="0.25">
      <c r="A85" s="181" t="str">
        <f>'[8]Atualização de custos unitarios'!A55</f>
        <v>DNIT –</v>
      </c>
      <c r="B85" s="258" t="str">
        <f>'[8]Atualização de custos unitarios'!B55</f>
        <v>P9805</v>
      </c>
      <c r="C85" s="183" t="s">
        <v>530</v>
      </c>
      <c r="D85" s="184" t="str">
        <f>'[8]Atualização de custos unitarios'!C55</f>
        <v>Armador</v>
      </c>
      <c r="E85" s="184"/>
      <c r="F85" s="418">
        <f t="shared" si="6"/>
        <v>4.95</v>
      </c>
      <c r="G85" s="205">
        <f>'[8]Atualização de custos unitarios'!E55</f>
        <v>19.630400000000002</v>
      </c>
      <c r="H85" s="205">
        <f t="shared" si="7"/>
        <v>97.170500000000004</v>
      </c>
      <c r="I85" s="213">
        <v>0</v>
      </c>
      <c r="J85" s="213">
        <v>0</v>
      </c>
      <c r="K85" s="213">
        <v>0</v>
      </c>
      <c r="L85" s="367">
        <f t="shared" si="8"/>
        <v>97.170500000000004</v>
      </c>
    </row>
    <row r="86" spans="1:12" s="164" customFormat="1" ht="14.15" hidden="1" customHeight="1" x14ac:dyDescent="0.25">
      <c r="A86" s="181" t="str">
        <f>'[8]Atualização de custos unitarios'!A56</f>
        <v>DNIT –</v>
      </c>
      <c r="B86" s="258" t="str">
        <f>'[8]Atualização de custos unitarios'!B56</f>
        <v>P9808</v>
      </c>
      <c r="C86" s="183" t="s">
        <v>530</v>
      </c>
      <c r="D86" s="184" t="str">
        <f>'[8]Atualização de custos unitarios'!C56</f>
        <v>Carpinteiro</v>
      </c>
      <c r="E86" s="184"/>
      <c r="F86" s="418">
        <f t="shared" si="6"/>
        <v>4.95</v>
      </c>
      <c r="G86" s="205">
        <f>'[8]Atualização de custos unitarios'!E56</f>
        <v>19.764600000000002</v>
      </c>
      <c r="H86" s="205">
        <f t="shared" si="7"/>
        <v>97.834800000000001</v>
      </c>
      <c r="I86" s="213">
        <v>0</v>
      </c>
      <c r="J86" s="213">
        <v>0</v>
      </c>
      <c r="K86" s="213">
        <v>0</v>
      </c>
      <c r="L86" s="367">
        <f t="shared" si="8"/>
        <v>97.834800000000001</v>
      </c>
    </row>
    <row r="87" spans="1:12" s="164" customFormat="1" ht="14.15" hidden="1" customHeight="1" x14ac:dyDescent="0.25">
      <c r="A87" s="181" t="str">
        <f>'[8]Atualização de custos unitarios'!A57</f>
        <v>DNIT –</v>
      </c>
      <c r="B87" s="258" t="str">
        <f>'[8]Atualização de custos unitarios'!B57</f>
        <v>P9821</v>
      </c>
      <c r="C87" s="183" t="s">
        <v>530</v>
      </c>
      <c r="D87" s="184" t="str">
        <f>'[8]Atualização de custos unitarios'!C57</f>
        <v>Pedreiro</v>
      </c>
      <c r="E87" s="184"/>
      <c r="F87" s="418">
        <f t="shared" si="6"/>
        <v>4.95</v>
      </c>
      <c r="G87" s="205">
        <f>'[8]Atualização de custos unitarios'!E57</f>
        <v>19.4588</v>
      </c>
      <c r="H87" s="205">
        <f t="shared" si="7"/>
        <v>96.321100000000001</v>
      </c>
      <c r="I87" s="213">
        <v>0</v>
      </c>
      <c r="J87" s="213">
        <v>0</v>
      </c>
      <c r="K87" s="213">
        <v>0</v>
      </c>
      <c r="L87" s="367">
        <f t="shared" si="8"/>
        <v>96.321100000000001</v>
      </c>
    </row>
    <row r="88" spans="1:12" s="164" customFormat="1" ht="14.15" hidden="1" customHeight="1" x14ac:dyDescent="0.25">
      <c r="A88" s="181" t="str">
        <f>'[8]Atualização de custos unitarios'!A58</f>
        <v>DNIT –</v>
      </c>
      <c r="B88" s="258" t="str">
        <f>'[8]Atualização de custos unitarios'!B58</f>
        <v>P9822</v>
      </c>
      <c r="C88" s="183" t="s">
        <v>530</v>
      </c>
      <c r="D88" s="184" t="str">
        <f>'[8]Atualização de custos unitarios'!C58</f>
        <v>Pintor</v>
      </c>
      <c r="E88" s="184"/>
      <c r="F88" s="418">
        <f t="shared" si="6"/>
        <v>4.95</v>
      </c>
      <c r="G88" s="205">
        <f>'[8]Atualização de custos unitarios'!E58</f>
        <v>17.710899999999999</v>
      </c>
      <c r="H88" s="205">
        <f t="shared" si="7"/>
        <v>87.668999999999997</v>
      </c>
      <c r="I88" s="213">
        <v>0</v>
      </c>
      <c r="J88" s="213">
        <v>0</v>
      </c>
      <c r="K88" s="213">
        <v>0</v>
      </c>
      <c r="L88" s="367">
        <f t="shared" si="8"/>
        <v>87.668999999999997</v>
      </c>
    </row>
    <row r="89" spans="1:12" s="164" customFormat="1" ht="14.15" hidden="1" customHeight="1" x14ac:dyDescent="0.25">
      <c r="A89" s="181" t="str">
        <f>'[8]Atualização de custos unitarios'!A59</f>
        <v>DNIT –</v>
      </c>
      <c r="B89" s="258" t="str">
        <f>'[8]Atualização de custos unitarios'!B59</f>
        <v>P9823</v>
      </c>
      <c r="C89" s="183" t="s">
        <v>530</v>
      </c>
      <c r="D89" s="184" t="str">
        <f>'[8]Atualização de custos unitarios'!C59</f>
        <v>Serralheiro</v>
      </c>
      <c r="E89" s="184"/>
      <c r="F89" s="418">
        <f t="shared" si="6"/>
        <v>4.95</v>
      </c>
      <c r="G89" s="205">
        <f>'[8]Atualização de custos unitarios'!E59</f>
        <v>17.7377</v>
      </c>
      <c r="H89" s="205">
        <f t="shared" si="7"/>
        <v>87.801599999999993</v>
      </c>
      <c r="I89" s="213">
        <v>0</v>
      </c>
      <c r="J89" s="213">
        <v>0</v>
      </c>
      <c r="K89" s="213">
        <v>0</v>
      </c>
      <c r="L89" s="367">
        <f t="shared" si="8"/>
        <v>87.801599999999993</v>
      </c>
    </row>
    <row r="90" spans="1:12" s="164" customFormat="1" ht="14.15" hidden="1" customHeight="1" x14ac:dyDescent="0.25">
      <c r="A90" s="181" t="str">
        <f>'[8]Atualização de custos unitarios'!A60</f>
        <v>DNIT –</v>
      </c>
      <c r="B90" s="258" t="str">
        <f>'[8]Atualização de custos unitarios'!B60</f>
        <v>P9824</v>
      </c>
      <c r="C90" s="183" t="s">
        <v>530</v>
      </c>
      <c r="D90" s="184" t="str">
        <f>'[8]Atualização de custos unitarios'!C60</f>
        <v>Servente</v>
      </c>
      <c r="E90" s="184"/>
      <c r="F90" s="418">
        <f t="shared" si="6"/>
        <v>4.95</v>
      </c>
      <c r="G90" s="205">
        <f>'[8]Atualização de custos unitarios'!E60</f>
        <v>13.6304</v>
      </c>
      <c r="H90" s="205">
        <f t="shared" si="7"/>
        <v>67.470500000000001</v>
      </c>
      <c r="I90" s="213">
        <v>0</v>
      </c>
      <c r="J90" s="213">
        <v>0</v>
      </c>
      <c r="K90" s="213">
        <v>0</v>
      </c>
      <c r="L90" s="367">
        <f t="shared" si="8"/>
        <v>67.470500000000001</v>
      </c>
    </row>
    <row r="91" spans="1:12" s="164" customFormat="1" ht="14.15" hidden="1" customHeight="1" x14ac:dyDescent="0.25">
      <c r="A91" s="181" t="str">
        <f>'[8]Atualização de custos unitarios'!A61</f>
        <v>DNIT –</v>
      </c>
      <c r="B91" s="258" t="str">
        <f>'[8]Atualização de custos unitarios'!B61</f>
        <v>P9825</v>
      </c>
      <c r="C91" s="183" t="s">
        <v>530</v>
      </c>
      <c r="D91" s="184" t="str">
        <f>'[8]Atualização de custos unitarios'!C61</f>
        <v>Soldador</v>
      </c>
      <c r="E91" s="184"/>
      <c r="F91" s="418">
        <f t="shared" si="6"/>
        <v>4.95</v>
      </c>
      <c r="G91" s="205">
        <f>'[8]Atualização de custos unitarios'!E61</f>
        <v>23.529800000000002</v>
      </c>
      <c r="H91" s="205">
        <f t="shared" si="7"/>
        <v>116.4725</v>
      </c>
      <c r="I91" s="213">
        <v>0</v>
      </c>
      <c r="J91" s="213">
        <v>0</v>
      </c>
      <c r="K91" s="213">
        <v>0</v>
      </c>
      <c r="L91" s="367">
        <f t="shared" si="8"/>
        <v>116.4725</v>
      </c>
    </row>
    <row r="92" spans="1:12" s="164" customFormat="1" ht="14.15" hidden="1" customHeight="1" x14ac:dyDescent="0.25">
      <c r="A92" s="181" t="str">
        <f>'[8]Atualização de custos unitarios'!A62</f>
        <v>DNIT –</v>
      </c>
      <c r="B92" s="258" t="str">
        <f>'[8]Atualização de custos unitarios'!B62</f>
        <v>P9830</v>
      </c>
      <c r="C92" s="183" t="s">
        <v>530</v>
      </c>
      <c r="D92" s="184" t="str">
        <f>'[8]Atualização de custos unitarios'!C62</f>
        <v>Montador</v>
      </c>
      <c r="E92" s="184"/>
      <c r="F92" s="418">
        <f t="shared" si="6"/>
        <v>4.95</v>
      </c>
      <c r="G92" s="205">
        <f>'[8]Atualização de custos unitarios'!E62</f>
        <v>19.8367</v>
      </c>
      <c r="H92" s="205">
        <f t="shared" si="7"/>
        <v>98.191699999999997</v>
      </c>
      <c r="I92" s="213">
        <v>0</v>
      </c>
      <c r="J92" s="213">
        <v>0</v>
      </c>
      <c r="K92" s="213">
        <v>0</v>
      </c>
      <c r="L92" s="367">
        <f t="shared" si="8"/>
        <v>98.191699999999997</v>
      </c>
    </row>
    <row r="93" spans="1:12" s="164" customFormat="1" ht="14.15" hidden="1" customHeight="1" x14ac:dyDescent="0.25">
      <c r="A93" s="181" t="str">
        <f>'[8]Atualização de custos unitarios'!A66</f>
        <v>DNIT –</v>
      </c>
      <c r="B93" s="258" t="str">
        <f>'[8]Atualização de custos unitarios'!B66</f>
        <v>P9852</v>
      </c>
      <c r="C93" s="183" t="s">
        <v>530</v>
      </c>
      <c r="D93" s="184" t="str">
        <f>'[8]Atualização de custos unitarios'!C66</f>
        <v>Blaster</v>
      </c>
      <c r="E93" s="184"/>
      <c r="F93" s="418">
        <f t="shared" si="6"/>
        <v>4.95</v>
      </c>
      <c r="G93" s="205">
        <f>'[8]Atualização de custos unitarios'!E66</f>
        <v>22.9068</v>
      </c>
      <c r="H93" s="205">
        <f t="shared" si="7"/>
        <v>113.3887</v>
      </c>
      <c r="I93" s="213">
        <v>0</v>
      </c>
      <c r="J93" s="213">
        <v>0</v>
      </c>
      <c r="K93" s="213">
        <v>0</v>
      </c>
      <c r="L93" s="367">
        <f t="shared" si="8"/>
        <v>113.3887</v>
      </c>
    </row>
    <row r="94" spans="1:12" s="164" customFormat="1" ht="14.15" customHeight="1" x14ac:dyDescent="0.25">
      <c r="A94" s="207"/>
      <c r="B94" s="208"/>
      <c r="C94" s="209"/>
      <c r="D94" s="210"/>
      <c r="E94" s="210"/>
      <c r="F94" s="419"/>
      <c r="G94" s="213"/>
      <c r="H94" s="205">
        <f t="shared" si="7"/>
        <v>0</v>
      </c>
      <c r="I94" s="213"/>
      <c r="J94" s="213"/>
      <c r="K94" s="213"/>
      <c r="L94" s="367">
        <f t="shared" si="8"/>
        <v>0</v>
      </c>
    </row>
    <row r="95" spans="1:12" s="164" customFormat="1" ht="14.15" customHeight="1" x14ac:dyDescent="0.25">
      <c r="A95" s="207"/>
      <c r="B95" s="208"/>
      <c r="C95" s="209"/>
      <c r="D95" s="210"/>
      <c r="E95" s="210"/>
      <c r="F95" s="419"/>
      <c r="G95" s="213"/>
      <c r="H95" s="205">
        <f t="shared" si="7"/>
        <v>0</v>
      </c>
      <c r="I95" s="213"/>
      <c r="J95" s="213"/>
      <c r="K95" s="213"/>
      <c r="L95" s="367">
        <f t="shared" si="8"/>
        <v>0</v>
      </c>
    </row>
    <row r="96" spans="1:12" s="164" customFormat="1" ht="14.15" customHeight="1" x14ac:dyDescent="0.25">
      <c r="A96" s="207"/>
      <c r="B96" s="208"/>
      <c r="C96" s="209"/>
      <c r="D96" s="210"/>
      <c r="E96" s="210"/>
      <c r="F96" s="419"/>
      <c r="G96" s="213"/>
      <c r="H96" s="205">
        <f t="shared" si="7"/>
        <v>0</v>
      </c>
      <c r="I96" s="213"/>
      <c r="J96" s="213"/>
      <c r="K96" s="213"/>
      <c r="L96" s="367">
        <f t="shared" si="8"/>
        <v>0</v>
      </c>
    </row>
    <row r="97" spans="1:12" s="164" customFormat="1" ht="8.15" customHeight="1" x14ac:dyDescent="0.25">
      <c r="A97" s="375"/>
      <c r="B97" s="376"/>
      <c r="C97" s="377"/>
      <c r="D97" s="378"/>
      <c r="E97" s="378"/>
      <c r="F97" s="378"/>
      <c r="G97" s="399"/>
      <c r="H97" s="379"/>
      <c r="I97" s="379"/>
      <c r="J97" s="381"/>
      <c r="K97" s="382"/>
      <c r="L97" s="383"/>
    </row>
    <row r="98" spans="1:12" s="164" customFormat="1" ht="14.15" customHeight="1" x14ac:dyDescent="0.25">
      <c r="A98" s="400"/>
      <c r="B98" s="224"/>
      <c r="C98" s="224"/>
      <c r="D98" s="224"/>
      <c r="E98" s="224"/>
      <c r="F98" s="224"/>
      <c r="G98" s="224"/>
      <c r="H98" s="224"/>
      <c r="I98" s="224"/>
      <c r="J98" s="224"/>
      <c r="K98" s="401" t="s">
        <v>601</v>
      </c>
      <c r="L98" s="402">
        <f>ROUND(L59+L67+L74+L83,4)</f>
        <v>1775.7297000000001</v>
      </c>
    </row>
    <row r="99" spans="1:12" s="164" customFormat="1" ht="3" customHeight="1" x14ac:dyDescent="0.25">
      <c r="A99" s="174"/>
      <c r="B99" s="174"/>
      <c r="C99" s="174"/>
      <c r="D99" s="174"/>
      <c r="E99" s="174"/>
      <c r="F99" s="174"/>
      <c r="G99" s="175"/>
      <c r="H99" s="173"/>
      <c r="I99" s="173"/>
      <c r="J99" s="270"/>
      <c r="K99" s="271"/>
      <c r="L99" s="422"/>
    </row>
    <row r="100" spans="1:12" s="164" customFormat="1" ht="15" customHeight="1" x14ac:dyDescent="0.25">
      <c r="A100" s="653" t="s">
        <v>602</v>
      </c>
      <c r="B100" s="654"/>
      <c r="C100" s="654"/>
      <c r="D100" s="654"/>
      <c r="E100" s="654"/>
      <c r="F100" s="654"/>
      <c r="G100" s="654"/>
      <c r="H100" s="654"/>
      <c r="I100" s="654"/>
      <c r="J100" s="654"/>
      <c r="K100" s="655"/>
      <c r="L100" s="402">
        <f>ROUND(L55+L98,4)</f>
        <v>12569.2914</v>
      </c>
    </row>
    <row r="101" spans="1:12" s="164" customFormat="1" ht="15" customHeight="1" x14ac:dyDescent="0.25">
      <c r="A101" s="646" t="s">
        <v>560</v>
      </c>
      <c r="B101" s="647"/>
      <c r="C101" s="647"/>
      <c r="D101" s="647"/>
      <c r="E101" s="647"/>
      <c r="F101" s="647"/>
      <c r="G101" s="647"/>
      <c r="H101" s="647"/>
      <c r="I101" s="647"/>
      <c r="J101" s="647"/>
      <c r="K101" s="273">
        <v>0.26140000000000002</v>
      </c>
      <c r="L101" s="423">
        <f>ROUND(L100*K101,4)</f>
        <v>3285.6127999999999</v>
      </c>
    </row>
    <row r="102" spans="1:12" s="164" customFormat="1" ht="20.149999999999999" customHeight="1" x14ac:dyDescent="0.25">
      <c r="A102" s="646" t="s">
        <v>603</v>
      </c>
      <c r="B102" s="647"/>
      <c r="C102" s="647"/>
      <c r="D102" s="647"/>
      <c r="E102" s="647"/>
      <c r="F102" s="647"/>
      <c r="G102" s="647"/>
      <c r="H102" s="647"/>
      <c r="I102" s="647"/>
      <c r="J102" s="647"/>
      <c r="K102" s="648"/>
      <c r="L102" s="424">
        <f>ROUND(L100+L101,2)</f>
        <v>15854.9</v>
      </c>
    </row>
    <row r="103" spans="1:12" s="164" customFormat="1" ht="3" customHeight="1" x14ac:dyDescent="0.2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</row>
    <row r="104" spans="1:12" s="164" customFormat="1" ht="14.15" customHeight="1" x14ac:dyDescent="0.25">
      <c r="A104" s="277" t="s">
        <v>563</v>
      </c>
      <c r="B104" s="278"/>
      <c r="C104" s="425"/>
      <c r="D104" s="425"/>
      <c r="E104" s="425"/>
      <c r="F104" s="425"/>
      <c r="G104" s="425"/>
      <c r="H104" s="425"/>
      <c r="I104" s="425"/>
      <c r="J104" s="425"/>
      <c r="K104" s="425"/>
      <c r="L104" s="426"/>
    </row>
    <row r="105" spans="1:12" s="164" customFormat="1" ht="25" customHeight="1" x14ac:dyDescent="0.25">
      <c r="A105" s="427"/>
      <c r="B105" s="696" t="s">
        <v>604</v>
      </c>
      <c r="C105" s="696"/>
      <c r="D105" s="696"/>
      <c r="E105" s="696"/>
      <c r="F105" s="696"/>
      <c r="G105" s="696"/>
      <c r="H105" s="696"/>
      <c r="I105" s="696"/>
      <c r="J105" s="696"/>
      <c r="K105" s="696"/>
      <c r="L105" s="697"/>
    </row>
    <row r="106" spans="1:12" s="164" customFormat="1" ht="8.15" customHeight="1" x14ac:dyDescent="0.25">
      <c r="A106" s="427"/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9"/>
    </row>
    <row r="107" spans="1:12" s="164" customFormat="1" ht="14.15" customHeight="1" x14ac:dyDescent="0.25">
      <c r="A107" s="427"/>
      <c r="B107" s="430" t="s">
        <v>605</v>
      </c>
      <c r="C107" s="431"/>
      <c r="D107" s="431"/>
      <c r="E107" s="431"/>
      <c r="F107" s="431"/>
      <c r="G107" s="431"/>
      <c r="H107" s="431"/>
      <c r="I107" s="431"/>
      <c r="J107" s="431"/>
      <c r="K107" s="431"/>
      <c r="L107" s="432"/>
    </row>
    <row r="108" spans="1:12" s="164" customFormat="1" ht="40" customHeight="1" x14ac:dyDescent="0.25">
      <c r="A108" s="427"/>
      <c r="B108" s="433" t="s">
        <v>564</v>
      </c>
      <c r="C108" s="696" t="s">
        <v>606</v>
      </c>
      <c r="D108" s="696"/>
      <c r="E108" s="696"/>
      <c r="F108" s="696"/>
      <c r="G108" s="696"/>
      <c r="H108" s="696"/>
      <c r="I108" s="696"/>
      <c r="J108" s="696"/>
      <c r="K108" s="696"/>
      <c r="L108" s="697"/>
    </row>
    <row r="109" spans="1:12" s="164" customFormat="1" ht="40" customHeight="1" x14ac:dyDescent="0.25">
      <c r="A109" s="427"/>
      <c r="B109" s="433" t="s">
        <v>566</v>
      </c>
      <c r="C109" s="696" t="s">
        <v>607</v>
      </c>
      <c r="D109" s="696"/>
      <c r="E109" s="696"/>
      <c r="F109" s="696"/>
      <c r="G109" s="696"/>
      <c r="H109" s="696"/>
      <c r="I109" s="696"/>
      <c r="J109" s="696"/>
      <c r="K109" s="696"/>
      <c r="L109" s="697"/>
    </row>
    <row r="110" spans="1:12" s="164" customFormat="1" ht="40" customHeight="1" x14ac:dyDescent="0.25">
      <c r="A110" s="427"/>
      <c r="B110" s="433" t="s">
        <v>608</v>
      </c>
      <c r="C110" s="696" t="s">
        <v>609</v>
      </c>
      <c r="D110" s="696"/>
      <c r="E110" s="696"/>
      <c r="F110" s="696"/>
      <c r="G110" s="696"/>
      <c r="H110" s="696"/>
      <c r="I110" s="696"/>
      <c r="J110" s="696"/>
      <c r="K110" s="696"/>
      <c r="L110" s="697"/>
    </row>
    <row r="111" spans="1:12" s="164" customFormat="1" ht="25" customHeight="1" x14ac:dyDescent="0.25">
      <c r="A111" s="427"/>
      <c r="B111" s="433" t="s">
        <v>610</v>
      </c>
      <c r="C111" s="696" t="s">
        <v>611</v>
      </c>
      <c r="D111" s="696"/>
      <c r="E111" s="696"/>
      <c r="F111" s="696"/>
      <c r="G111" s="696"/>
      <c r="H111" s="696"/>
      <c r="I111" s="696"/>
      <c r="J111" s="696"/>
      <c r="K111" s="696"/>
      <c r="L111" s="697"/>
    </row>
    <row r="112" spans="1:12" s="164" customFormat="1" ht="25" customHeight="1" x14ac:dyDescent="0.25">
      <c r="A112" s="427"/>
      <c r="B112" s="433" t="s">
        <v>612</v>
      </c>
      <c r="C112" s="696" t="s">
        <v>613</v>
      </c>
      <c r="D112" s="696"/>
      <c r="E112" s="696"/>
      <c r="F112" s="696"/>
      <c r="G112" s="696"/>
      <c r="H112" s="696"/>
      <c r="I112" s="696"/>
      <c r="J112" s="696"/>
      <c r="K112" s="696"/>
      <c r="L112" s="697"/>
    </row>
    <row r="113" spans="1:12" s="164" customFormat="1" ht="40" customHeight="1" x14ac:dyDescent="0.25">
      <c r="A113" s="427"/>
      <c r="B113" s="433" t="s">
        <v>614</v>
      </c>
      <c r="C113" s="696" t="s">
        <v>615</v>
      </c>
      <c r="D113" s="696"/>
      <c r="E113" s="696"/>
      <c r="F113" s="696"/>
      <c r="G113" s="696"/>
      <c r="H113" s="696"/>
      <c r="I113" s="696"/>
      <c r="J113" s="696"/>
      <c r="K113" s="696"/>
      <c r="L113" s="697"/>
    </row>
    <row r="114" spans="1:12" s="164" customFormat="1" ht="8.15" customHeight="1" x14ac:dyDescent="0.25">
      <c r="A114" s="427"/>
      <c r="B114" s="433"/>
      <c r="C114" s="428"/>
      <c r="D114" s="428"/>
      <c r="E114" s="428"/>
      <c r="F114" s="428"/>
      <c r="G114" s="428"/>
      <c r="H114" s="428"/>
      <c r="I114" s="428"/>
      <c r="J114" s="428"/>
      <c r="K114" s="428"/>
      <c r="L114" s="429"/>
    </row>
    <row r="115" spans="1:12" s="164" customFormat="1" ht="14.15" customHeight="1" x14ac:dyDescent="0.25">
      <c r="A115" s="427"/>
      <c r="B115" s="430" t="s">
        <v>616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9"/>
    </row>
    <row r="116" spans="1:12" s="164" customFormat="1" ht="40" customHeight="1" x14ac:dyDescent="0.25">
      <c r="A116" s="427"/>
      <c r="B116" s="433" t="s">
        <v>564</v>
      </c>
      <c r="C116" s="696" t="s">
        <v>617</v>
      </c>
      <c r="D116" s="696"/>
      <c r="E116" s="696"/>
      <c r="F116" s="696"/>
      <c r="G116" s="696"/>
      <c r="H116" s="696"/>
      <c r="I116" s="696"/>
      <c r="J116" s="696"/>
      <c r="K116" s="696"/>
      <c r="L116" s="697"/>
    </row>
    <row r="117" spans="1:12" s="164" customFormat="1" ht="25" customHeight="1" x14ac:dyDescent="0.25">
      <c r="A117" s="427"/>
      <c r="B117" s="433" t="s">
        <v>566</v>
      </c>
      <c r="C117" s="696" t="s">
        <v>618</v>
      </c>
      <c r="D117" s="696"/>
      <c r="E117" s="696"/>
      <c r="F117" s="696"/>
      <c r="G117" s="696"/>
      <c r="H117" s="696"/>
      <c r="I117" s="696"/>
      <c r="J117" s="696"/>
      <c r="K117" s="696"/>
      <c r="L117" s="697"/>
    </row>
    <row r="118" spans="1:12" ht="8.15" customHeight="1" x14ac:dyDescent="0.2">
      <c r="A118" s="284"/>
      <c r="B118" s="434"/>
      <c r="C118" s="435"/>
      <c r="D118" s="435"/>
      <c r="E118" s="435"/>
      <c r="F118" s="435"/>
      <c r="G118" s="435"/>
      <c r="H118" s="435"/>
      <c r="I118" s="435"/>
      <c r="J118" s="435"/>
      <c r="K118" s="435"/>
      <c r="L118" s="436"/>
    </row>
    <row r="122" spans="1:12" ht="15" customHeight="1" x14ac:dyDescent="0.25">
      <c r="E122" s="165"/>
    </row>
  </sheetData>
  <mergeCells count="53">
    <mergeCell ref="C113:L113"/>
    <mergeCell ref="C116:L116"/>
    <mergeCell ref="C117:L117"/>
    <mergeCell ref="B105:L105"/>
    <mergeCell ref="C108:L108"/>
    <mergeCell ref="C109:L109"/>
    <mergeCell ref="C110:L110"/>
    <mergeCell ref="C111:L111"/>
    <mergeCell ref="C112:L112"/>
    <mergeCell ref="D44:F44"/>
    <mergeCell ref="L57:L58"/>
    <mergeCell ref="D68:E68"/>
    <mergeCell ref="A100:K100"/>
    <mergeCell ref="A101:J101"/>
    <mergeCell ref="A102:K102"/>
    <mergeCell ref="D48:F48"/>
    <mergeCell ref="D49:F49"/>
    <mergeCell ref="D51:F51"/>
    <mergeCell ref="D52:F52"/>
    <mergeCell ref="D53:F53"/>
    <mergeCell ref="A57:D58"/>
    <mergeCell ref="F57:H57"/>
    <mergeCell ref="I57:K57"/>
    <mergeCell ref="L25:L26"/>
    <mergeCell ref="D27:F27"/>
    <mergeCell ref="D28:F28"/>
    <mergeCell ref="J17:J18"/>
    <mergeCell ref="D43:F43"/>
    <mergeCell ref="G17:G18"/>
    <mergeCell ref="H17:H18"/>
    <mergeCell ref="I17:I18"/>
    <mergeCell ref="K17:K18"/>
    <mergeCell ref="L17:L18"/>
    <mergeCell ref="D32:F32"/>
    <mergeCell ref="D36:F36"/>
    <mergeCell ref="D40:F40"/>
    <mergeCell ref="D42:F42"/>
    <mergeCell ref="D13:E13"/>
    <mergeCell ref="D29:F29"/>
    <mergeCell ref="A17:F18"/>
    <mergeCell ref="J13:J15"/>
    <mergeCell ref="K13:K15"/>
    <mergeCell ref="D14:E14"/>
    <mergeCell ref="D15:E15"/>
    <mergeCell ref="D12:E12"/>
    <mergeCell ref="F12:G12"/>
    <mergeCell ref="H12:I12"/>
    <mergeCell ref="J12:K12"/>
    <mergeCell ref="A1:L1"/>
    <mergeCell ref="A3:D3"/>
    <mergeCell ref="A6:K7"/>
    <mergeCell ref="L7:L8"/>
    <mergeCell ref="E9:J9"/>
  </mergeCells>
  <printOptions horizontalCentered="1"/>
  <pageMargins left="0.5034313725490196" right="0.39370078740157483" top="0.35" bottom="0.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RESUMO GERAL</vt:lpstr>
      <vt:lpstr>BASE</vt:lpstr>
      <vt:lpstr>MC REV</vt:lpstr>
      <vt:lpstr>Base (2)</vt:lpstr>
      <vt:lpstr>CFF</vt:lpstr>
      <vt:lpstr>BDI </vt:lpstr>
      <vt:lpstr>BDP</vt:lpstr>
      <vt:lpstr>CP01</vt:lpstr>
      <vt:lpstr>CP02</vt:lpstr>
      <vt:lpstr>BASE!Area_de_impressao</vt:lpstr>
      <vt:lpstr>'Base (2)'!Area_de_impressao</vt:lpstr>
      <vt:lpstr>'BDI '!Area_de_impressao</vt:lpstr>
      <vt:lpstr>BDP!Area_de_impressao</vt:lpstr>
      <vt:lpstr>'CP02'!Area_de_impressao</vt:lpstr>
      <vt:lpstr>'MC REV'!Area_de_impressao</vt:lpstr>
      <vt:lpstr>'RESUMO GERAL'!Area_de_impressao</vt:lpstr>
      <vt:lpstr>BASE!Titulos_de_impressao</vt:lpstr>
      <vt:lpstr>'Base (2)'!Titulos_de_impressao</vt:lpstr>
      <vt:lpstr>'MC REV'!Titulos_de_impressao</vt:lpstr>
      <vt:lpstr>'RESUMO GERAL'!Titulos_de_impressao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Felipe Tenório</cp:lastModifiedBy>
  <cp:revision/>
  <dcterms:created xsi:type="dcterms:W3CDTF">2007-09-17T10:36:27Z</dcterms:created>
  <dcterms:modified xsi:type="dcterms:W3CDTF">2022-05-04T15:41:54Z</dcterms:modified>
  <cp:category/>
  <cp:contentStatus/>
</cp:coreProperties>
</file>